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raspaso\AGMER\"/>
    </mc:Choice>
  </mc:AlternateContent>
  <bookViews>
    <workbookView xWindow="0" yWindow="0" windowWidth="20490" windowHeight="7905" tabRatio="257"/>
  </bookViews>
  <sheets>
    <sheet name="Recibo" sheetId="1" r:id="rId1"/>
    <sheet name="cargos" sheetId="2" r:id="rId2"/>
  </sheets>
  <definedNames>
    <definedName name="adicdir2016">cargos!$F$3:$F$336</definedName>
    <definedName name="adicdir2022">cargos!$G$3:$G$336</definedName>
    <definedName name="adichsmedia">Recibo!$D$219</definedName>
    <definedName name="adicnina">cargos!$L$3:$L$336</definedName>
    <definedName name="Aumento1">Recibo!$C$56</definedName>
    <definedName name="Aumento2">Recibo!$C$57</definedName>
    <definedName name="Aumento3">Recibo!$C$58</definedName>
    <definedName name="Aumento4">Recibo!$C$59</definedName>
    <definedName name="Aumento5">Recibo!$C$60</definedName>
    <definedName name="aumento6">Recibo!$C$61</definedName>
    <definedName name="Aumento7">Recibo!$E$60</definedName>
    <definedName name="Aumento8">Recibo!$E$61</definedName>
    <definedName name="Aumentomar21">Recibo!#REF!</definedName>
    <definedName name="canthor06med">Recibo!$D$217</definedName>
    <definedName name="canthor06sup">Recibo!$D$344</definedName>
    <definedName name="canthorincmed">Recibo!$D$218</definedName>
    <definedName name="canthorincsup">Recibo!$D$345</definedName>
    <definedName name="canthormed">Recibo!$D$213</definedName>
    <definedName name="canthorsup">Recibo!$D$340</definedName>
    <definedName name="cantkm">Recibo!$D$81</definedName>
    <definedName name="cantkmhm">Recibo!$D$221</definedName>
    <definedName name="cantkmhs">Recibo!$D$347</definedName>
    <definedName name="codigo06cargosene23">Recibo!$I$17:$I$28</definedName>
    <definedName name="compbas16">cargos!$E$3:$E$336</definedName>
    <definedName name="compbas2015">#REF!</definedName>
    <definedName name="compbas2016">Recibo!$F$74</definedName>
    <definedName name="compdir14">#REF!</definedName>
    <definedName name="compdir16">Recibo!$G$74</definedName>
    <definedName name="compdir22">Recibo!$I$74</definedName>
    <definedName name="escalaañosantig">Recibo!$D$17:$D$28</definedName>
    <definedName name="escalaporcantig">Recibo!$E$17:$E$28</definedName>
    <definedName name="exten">Recibo!$D$84</definedName>
    <definedName name="indicedic21">Recibo!#REF!</definedName>
    <definedName name="indiceene20">Recibo!#REF!</definedName>
    <definedName name="indiceene22">Recibo!#REF!</definedName>
    <definedName name="indiceene23">Recibo!$E$56</definedName>
    <definedName name="indicemar21">Recibo!#REF!</definedName>
    <definedName name="indicenov22">Recibo!#REF!</definedName>
    <definedName name="indiceoct22">Recibo!#REF!</definedName>
    <definedName name="indiceproljordic21">Recibo!#REF!</definedName>
    <definedName name="indiceproljorene20">Recibo!#REF!</definedName>
    <definedName name="indiceproljorene22">Recibo!#REF!</definedName>
    <definedName name="Indiceproljorene23">Recibo!$E$57</definedName>
    <definedName name="indiceproljormar21">Recibo!#REF!</definedName>
    <definedName name="Indiceproljornov22">Recibo!#REF!</definedName>
    <definedName name="Indiceproljoroct22">Recibo!#REF!</definedName>
    <definedName name="Indiceproljorsep22">Recibo!#REF!</definedName>
    <definedName name="indicesep22">Recibo!#REF!</definedName>
    <definedName name="kmsem">Recibo!$C$165</definedName>
    <definedName name="kmsemhsmed">Recibo!$C$291</definedName>
    <definedName name="kmsemhssup">Recibo!$C$412</definedName>
    <definedName name="nina">Recibo!$D$78</definedName>
    <definedName name="nombrecargo">cargos!$B$3:$B$336</definedName>
    <definedName name="numcargo">cargos!$A$3:$A$336</definedName>
    <definedName name="poragmer">Recibo!$C$425</definedName>
    <definedName name="porant">Recibo!$H$17:$H$28</definedName>
    <definedName name="porantigcargo">Recibo!$D$80</definedName>
    <definedName name="porantighormed">Recibo!$D$215</definedName>
    <definedName name="porantighorsup">Recibo!$D$342</definedName>
    <definedName name="porjub">Recibo!$C$423</definedName>
    <definedName name="porley">Recibo!#REF!</definedName>
    <definedName name="poros">Recibo!$C$424</definedName>
    <definedName name="porzonacargo">Recibo!$C$162</definedName>
    <definedName name="porzonahsmed">Recibo!$C$290</definedName>
    <definedName name="punbascar">Recibo!$D$82</definedName>
    <definedName name="punbascargo">cargos!$C$3:$C$336</definedName>
    <definedName name="punbashormed">Recibo!$D$223</definedName>
    <definedName name="punbashorsup">Recibo!$D$348</definedName>
    <definedName name="punexten">cargos!$D$3:$D$336</definedName>
    <definedName name="punjorcomcargo">cargos!$K$3:$K$336</definedName>
    <definedName name="punproljorcargo">cargos!$J$3:$J$336</definedName>
    <definedName name="puntardifcargo">cargos!$I$3:$I$336</definedName>
    <definedName name="puntosadicnina">Recibo!$H$74</definedName>
    <definedName name="PUNTOSbasicos">Recibo!$B$74</definedName>
    <definedName name="puntosexten">Recibo!$J$74</definedName>
    <definedName name="puntosproljor">Recibo!$D$83</definedName>
    <definedName name="puntostardif">Recibo!$C$74</definedName>
    <definedName name="totalremfeb23">Recibo!$K$184</definedName>
    <definedName name="totalremmar23">Recibo!$H$184</definedName>
    <definedName name="totalremmay23">Recibo!$E$184</definedName>
    <definedName name="totalremocatavoaumFoniddic22">Recibo!#REF!</definedName>
    <definedName name="totalremocatavoaumFonidene23">Recibo!$N$184</definedName>
  </definedNames>
  <calcPr calcId="162913"/>
</workbook>
</file>

<file path=xl/calcChain.xml><?xml version="1.0" encoding="utf-8"?>
<calcChain xmlns="http://schemas.openxmlformats.org/spreadsheetml/2006/main">
  <c r="I341" i="1" l="1"/>
  <c r="E417" i="1" l="1"/>
  <c r="H417" i="1"/>
  <c r="E296" i="1"/>
  <c r="H296" i="1"/>
  <c r="L83" i="1"/>
  <c r="H408" i="1" l="1"/>
  <c r="H409" i="1" s="1"/>
  <c r="I336" i="1"/>
  <c r="G336" i="1"/>
  <c r="R160" i="1"/>
  <c r="E411" i="1"/>
  <c r="E356" i="1" s="1"/>
  <c r="E408" i="1"/>
  <c r="E409" i="1" s="1"/>
  <c r="E354" i="1" s="1"/>
  <c r="E292" i="1"/>
  <c r="E235" i="1" s="1"/>
  <c r="E288" i="1"/>
  <c r="E231" i="1" s="1"/>
  <c r="E286" i="1"/>
  <c r="E287" i="1" s="1"/>
  <c r="E230" i="1" s="1"/>
  <c r="H411" i="1"/>
  <c r="H288" i="1"/>
  <c r="H286" i="1"/>
  <c r="H287" i="1" s="1"/>
  <c r="K411" i="1"/>
  <c r="K408" i="1"/>
  <c r="K409" i="1" s="1"/>
  <c r="K296" i="1"/>
  <c r="K297" i="1"/>
  <c r="K292" i="1"/>
  <c r="K288" i="1"/>
  <c r="K286" i="1"/>
  <c r="K287" i="1" s="1"/>
  <c r="R162" i="1"/>
  <c r="E178" i="1"/>
  <c r="F178" i="1" s="1"/>
  <c r="F115" i="1" s="1"/>
  <c r="E176" i="1"/>
  <c r="F176" i="1" s="1"/>
  <c r="F113" i="1" s="1"/>
  <c r="E173" i="1"/>
  <c r="F173" i="1" s="1"/>
  <c r="E169" i="1"/>
  <c r="E166" i="1"/>
  <c r="H178" i="1"/>
  <c r="I178" i="1" s="1"/>
  <c r="H176" i="1"/>
  <c r="I176" i="1" s="1"/>
  <c r="H173" i="1"/>
  <c r="I173" i="1" s="1"/>
  <c r="H169" i="1"/>
  <c r="H166" i="1"/>
  <c r="K178" i="1"/>
  <c r="L178" i="1" s="1"/>
  <c r="K176" i="1"/>
  <c r="L176" i="1" s="1"/>
  <c r="K173" i="1"/>
  <c r="L173" i="1" s="1"/>
  <c r="K169" i="1"/>
  <c r="K166" i="1"/>
  <c r="E301" i="1"/>
  <c r="F301" i="1" s="1"/>
  <c r="F244" i="1" s="1"/>
  <c r="E298" i="1"/>
  <c r="E297" i="1"/>
  <c r="E240" i="1" s="1"/>
  <c r="E239" i="1"/>
  <c r="E295" i="1"/>
  <c r="F290" i="1"/>
  <c r="H301" i="1"/>
  <c r="I301" i="1" s="1"/>
  <c r="H298" i="1"/>
  <c r="H297" i="1"/>
  <c r="H295" i="1"/>
  <c r="I290" i="1"/>
  <c r="K301" i="1"/>
  <c r="L301" i="1" s="1"/>
  <c r="K298" i="1"/>
  <c r="K295" i="1"/>
  <c r="L290" i="1"/>
  <c r="E422" i="1"/>
  <c r="F422" i="1" s="1"/>
  <c r="F367" i="1" s="1"/>
  <c r="E419" i="1"/>
  <c r="E364" i="1" s="1"/>
  <c r="E418" i="1"/>
  <c r="E362" i="1"/>
  <c r="E415" i="1"/>
  <c r="H422" i="1"/>
  <c r="I422" i="1" s="1"/>
  <c r="H419" i="1"/>
  <c r="H418" i="1"/>
  <c r="H415" i="1"/>
  <c r="K422" i="1"/>
  <c r="L422" i="1" s="1"/>
  <c r="K419" i="1"/>
  <c r="K418" i="1"/>
  <c r="K417" i="1"/>
  <c r="K415" i="1"/>
  <c r="E363" i="1"/>
  <c r="E395" i="1"/>
  <c r="E393" i="1"/>
  <c r="E391" i="1"/>
  <c r="E390" i="1"/>
  <c r="E389" i="1"/>
  <c r="E388" i="1"/>
  <c r="F387" i="1"/>
  <c r="E387" i="1"/>
  <c r="E386" i="1"/>
  <c r="E385" i="1"/>
  <c r="E383" i="1"/>
  <c r="E382" i="1"/>
  <c r="E380" i="1"/>
  <c r="E379" i="1"/>
  <c r="E377" i="1"/>
  <c r="E376" i="1"/>
  <c r="E374" i="1"/>
  <c r="E365" i="1"/>
  <c r="E361" i="1"/>
  <c r="E278" i="1"/>
  <c r="E277" i="1"/>
  <c r="E272" i="1"/>
  <c r="E270" i="1"/>
  <c r="E268" i="1"/>
  <c r="E267" i="1"/>
  <c r="E266" i="1"/>
  <c r="E265" i="1"/>
  <c r="F264" i="1"/>
  <c r="E264" i="1"/>
  <c r="E263" i="1"/>
  <c r="E262" i="1"/>
  <c r="E260" i="1"/>
  <c r="E259" i="1"/>
  <c r="E257" i="1"/>
  <c r="E256" i="1"/>
  <c r="E254" i="1"/>
  <c r="E253" i="1"/>
  <c r="E251" i="1"/>
  <c r="E242" i="1"/>
  <c r="E241" i="1"/>
  <c r="F234" i="1"/>
  <c r="G209" i="1"/>
  <c r="E142" i="1"/>
  <c r="E140" i="1"/>
  <c r="E138" i="1"/>
  <c r="E137" i="1"/>
  <c r="E136" i="1"/>
  <c r="E135" i="1"/>
  <c r="F134" i="1"/>
  <c r="E134" i="1"/>
  <c r="E133" i="1"/>
  <c r="F132" i="1"/>
  <c r="E132" i="1"/>
  <c r="E127" i="1"/>
  <c r="E126" i="1"/>
  <c r="E124" i="1"/>
  <c r="E123" i="1"/>
  <c r="F122" i="1"/>
  <c r="F121" i="1"/>
  <c r="E120" i="1"/>
  <c r="E118" i="1"/>
  <c r="G102" i="1"/>
  <c r="G99" i="1"/>
  <c r="G97" i="1"/>
  <c r="H292" i="1" l="1"/>
  <c r="F110" i="1"/>
  <c r="E353" i="1"/>
  <c r="E229" i="1"/>
  <c r="I209" i="1"/>
  <c r="F75" i="1"/>
  <c r="K235" i="1" l="1"/>
  <c r="K231" i="1"/>
  <c r="K230" i="1"/>
  <c r="H356" i="1"/>
  <c r="H354" i="1"/>
  <c r="H235" i="1"/>
  <c r="H231" i="1"/>
  <c r="H230" i="1"/>
  <c r="I367" i="1"/>
  <c r="H364" i="1"/>
  <c r="H363" i="1"/>
  <c r="H362" i="1"/>
  <c r="H395" i="1"/>
  <c r="H393" i="1"/>
  <c r="H391" i="1"/>
  <c r="H390" i="1"/>
  <c r="H389" i="1"/>
  <c r="H388" i="1"/>
  <c r="I387" i="1"/>
  <c r="H387" i="1"/>
  <c r="H386" i="1"/>
  <c r="H385" i="1"/>
  <c r="H383" i="1"/>
  <c r="H382" i="1"/>
  <c r="H380" i="1"/>
  <c r="H379" i="1"/>
  <c r="H377" i="1"/>
  <c r="H376" i="1"/>
  <c r="H374" i="1"/>
  <c r="H365" i="1"/>
  <c r="H361" i="1"/>
  <c r="I244" i="1"/>
  <c r="H241" i="1"/>
  <c r="H240" i="1"/>
  <c r="H239" i="1"/>
  <c r="H278" i="1"/>
  <c r="H277" i="1"/>
  <c r="H272" i="1"/>
  <c r="H270" i="1"/>
  <c r="H268" i="1"/>
  <c r="H267" i="1"/>
  <c r="H266" i="1"/>
  <c r="H265" i="1"/>
  <c r="I264" i="1"/>
  <c r="H264" i="1"/>
  <c r="H263" i="1"/>
  <c r="H262" i="1"/>
  <c r="H260" i="1"/>
  <c r="H259" i="1"/>
  <c r="H257" i="1"/>
  <c r="H256" i="1"/>
  <c r="H254" i="1"/>
  <c r="H253" i="1"/>
  <c r="H251" i="1"/>
  <c r="H242" i="1"/>
  <c r="I234" i="1"/>
  <c r="I115" i="1"/>
  <c r="I113" i="1"/>
  <c r="H142" i="1"/>
  <c r="H140" i="1"/>
  <c r="H138" i="1"/>
  <c r="H137" i="1"/>
  <c r="H136" i="1"/>
  <c r="H135" i="1"/>
  <c r="I134" i="1"/>
  <c r="H134" i="1"/>
  <c r="H133" i="1"/>
  <c r="I132" i="1"/>
  <c r="H132" i="1"/>
  <c r="H127" i="1"/>
  <c r="H126" i="1"/>
  <c r="H124" i="1"/>
  <c r="H123" i="1"/>
  <c r="I122" i="1"/>
  <c r="I121" i="1"/>
  <c r="H120" i="1"/>
  <c r="H118" i="1"/>
  <c r="J102" i="1"/>
  <c r="J99" i="1"/>
  <c r="J97" i="1"/>
  <c r="L367" i="1"/>
  <c r="K364" i="1"/>
  <c r="K363" i="1"/>
  <c r="K362" i="1"/>
  <c r="K356" i="1"/>
  <c r="K354" i="1"/>
  <c r="K395" i="1"/>
  <c r="K393" i="1"/>
  <c r="K391" i="1"/>
  <c r="K390" i="1"/>
  <c r="K389" i="1"/>
  <c r="K388" i="1"/>
  <c r="L387" i="1"/>
  <c r="K387" i="1"/>
  <c r="K386" i="1"/>
  <c r="K385" i="1"/>
  <c r="K383" i="1"/>
  <c r="K382" i="1"/>
  <c r="K380" i="1"/>
  <c r="K379" i="1"/>
  <c r="K377" i="1"/>
  <c r="K376" i="1"/>
  <c r="K374" i="1"/>
  <c r="K365" i="1"/>
  <c r="K361" i="1"/>
  <c r="K353" i="1"/>
  <c r="L244" i="1"/>
  <c r="K241" i="1"/>
  <c r="K278" i="1"/>
  <c r="K277" i="1"/>
  <c r="K272" i="1"/>
  <c r="K270" i="1"/>
  <c r="K268" i="1"/>
  <c r="K267" i="1"/>
  <c r="K266" i="1"/>
  <c r="K265" i="1"/>
  <c r="L264" i="1"/>
  <c r="K264" i="1"/>
  <c r="K263" i="1"/>
  <c r="K262" i="1"/>
  <c r="K260" i="1"/>
  <c r="K259" i="1"/>
  <c r="K257" i="1"/>
  <c r="K256" i="1"/>
  <c r="K254" i="1"/>
  <c r="K253" i="1"/>
  <c r="K251" i="1"/>
  <c r="K242" i="1"/>
  <c r="K240" i="1"/>
  <c r="K239" i="1"/>
  <c r="L234" i="1"/>
  <c r="L115" i="1"/>
  <c r="L113" i="1"/>
  <c r="K142" i="1"/>
  <c r="K140" i="1"/>
  <c r="K138" i="1"/>
  <c r="K137" i="1"/>
  <c r="K136" i="1"/>
  <c r="K135" i="1"/>
  <c r="L134" i="1"/>
  <c r="K134" i="1"/>
  <c r="K133" i="1"/>
  <c r="L132" i="1"/>
  <c r="K132" i="1"/>
  <c r="K127" i="1"/>
  <c r="K126" i="1"/>
  <c r="K124" i="1"/>
  <c r="K123" i="1"/>
  <c r="L122" i="1"/>
  <c r="L121" i="1"/>
  <c r="K120" i="1"/>
  <c r="K118" i="1"/>
  <c r="M102" i="1"/>
  <c r="M99" i="1"/>
  <c r="M97" i="1"/>
  <c r="C171" i="1"/>
  <c r="R293" i="1"/>
  <c r="N411" i="1"/>
  <c r="N292" i="1"/>
  <c r="N288" i="1"/>
  <c r="N408" i="1"/>
  <c r="C408" i="1" s="1"/>
  <c r="N286" i="1"/>
  <c r="C286" i="1" s="1"/>
  <c r="K229" i="1" l="1"/>
  <c r="H229" i="1"/>
  <c r="H353" i="1"/>
  <c r="I110" i="1"/>
  <c r="L110" i="1"/>
  <c r="D193" i="2"/>
  <c r="D192" i="2"/>
  <c r="N419" i="1" l="1"/>
  <c r="N417" i="1"/>
  <c r="C417" i="1" s="1"/>
  <c r="N298" i="1"/>
  <c r="C298" i="1" s="1"/>
  <c r="N296" i="1"/>
  <c r="C296" i="1" s="1"/>
  <c r="Q55" i="1" l="1"/>
  <c r="C419" i="1" l="1"/>
  <c r="C364" i="1" s="1"/>
  <c r="N418" i="1"/>
  <c r="N241" i="1"/>
  <c r="N297" i="1"/>
  <c r="N362" i="1"/>
  <c r="N356" i="1"/>
  <c r="N235" i="1"/>
  <c r="N231" i="1"/>
  <c r="N287" i="1"/>
  <c r="N230" i="1" s="1"/>
  <c r="N422" i="1"/>
  <c r="O422" i="1" s="1"/>
  <c r="O367" i="1" s="1"/>
  <c r="N415" i="1"/>
  <c r="N395" i="1"/>
  <c r="N393" i="1"/>
  <c r="N391" i="1"/>
  <c r="N390" i="1"/>
  <c r="N389" i="1"/>
  <c r="N388" i="1"/>
  <c r="O387" i="1"/>
  <c r="N387" i="1"/>
  <c r="N386" i="1"/>
  <c r="N385" i="1"/>
  <c r="N383" i="1"/>
  <c r="N382" i="1"/>
  <c r="N380" i="1"/>
  <c r="N379" i="1"/>
  <c r="N377" i="1"/>
  <c r="N376" i="1"/>
  <c r="N374" i="1"/>
  <c r="N365" i="1"/>
  <c r="N361" i="1"/>
  <c r="N301" i="1"/>
  <c r="O301" i="1" s="1"/>
  <c r="O244" i="1" s="1"/>
  <c r="N295" i="1"/>
  <c r="O290" i="1"/>
  <c r="N278" i="1"/>
  <c r="N277" i="1"/>
  <c r="N272" i="1"/>
  <c r="N270" i="1"/>
  <c r="N268" i="1"/>
  <c r="N267" i="1"/>
  <c r="N266" i="1"/>
  <c r="N265" i="1"/>
  <c r="O264" i="1"/>
  <c r="N264" i="1"/>
  <c r="N263" i="1"/>
  <c r="N262" i="1"/>
  <c r="N260" i="1"/>
  <c r="N259" i="1"/>
  <c r="N257" i="1"/>
  <c r="N256" i="1"/>
  <c r="N254" i="1"/>
  <c r="N253" i="1"/>
  <c r="N251" i="1"/>
  <c r="N242" i="1"/>
  <c r="N239" i="1"/>
  <c r="O234" i="1"/>
  <c r="N178" i="1"/>
  <c r="O178" i="1" s="1"/>
  <c r="O115" i="1" s="1"/>
  <c r="N176" i="1"/>
  <c r="O176" i="1" s="1"/>
  <c r="O113" i="1" s="1"/>
  <c r="N173" i="1"/>
  <c r="O173" i="1" s="1"/>
  <c r="O110" i="1" s="1"/>
  <c r="N169" i="1"/>
  <c r="N166" i="1"/>
  <c r="N142" i="1"/>
  <c r="N140" i="1"/>
  <c r="N138" i="1"/>
  <c r="N137" i="1"/>
  <c r="N136" i="1"/>
  <c r="N135" i="1"/>
  <c r="O134" i="1"/>
  <c r="N134" i="1"/>
  <c r="N133" i="1"/>
  <c r="O132" i="1"/>
  <c r="N132" i="1"/>
  <c r="N127" i="1"/>
  <c r="N126" i="1"/>
  <c r="N124" i="1"/>
  <c r="N123" i="1"/>
  <c r="O122" i="1"/>
  <c r="O121" i="1"/>
  <c r="N120" i="1"/>
  <c r="N118" i="1"/>
  <c r="P102" i="1"/>
  <c r="P99" i="1"/>
  <c r="P97" i="1"/>
  <c r="N363" i="1" l="1"/>
  <c r="C418" i="1"/>
  <c r="N240" i="1"/>
  <c r="C297" i="1"/>
  <c r="N229" i="1"/>
  <c r="C241" i="1"/>
  <c r="N364" i="1"/>
  <c r="N409" i="1"/>
  <c r="N354" i="1" s="1"/>
  <c r="N353" i="1"/>
  <c r="C177" i="1" l="1"/>
  <c r="L54" i="1" l="1"/>
  <c r="D280" i="1" l="1"/>
  <c r="J74" i="1" l="1"/>
  <c r="E153" i="1" l="1"/>
  <c r="E90" i="1" s="1"/>
  <c r="K153" i="1"/>
  <c r="K90" i="1" s="1"/>
  <c r="H153" i="1"/>
  <c r="H90" i="1" s="1"/>
  <c r="N153" i="1"/>
  <c r="N90" i="1" s="1"/>
  <c r="J63" i="1" l="1"/>
  <c r="J62" i="1"/>
  <c r="C358" i="1" l="1"/>
  <c r="C413" i="1" s="1"/>
  <c r="K413" i="1" l="1"/>
  <c r="K358" i="1" s="1"/>
  <c r="E413" i="1"/>
  <c r="E358" i="1" s="1"/>
  <c r="H413" i="1"/>
  <c r="H358" i="1" s="1"/>
  <c r="N413" i="1"/>
  <c r="N358" i="1" s="1"/>
  <c r="C236" i="1"/>
  <c r="C293" i="1" s="1"/>
  <c r="E293" i="1" l="1"/>
  <c r="E236" i="1" s="1"/>
  <c r="H293" i="1"/>
  <c r="H236" i="1" s="1"/>
  <c r="K293" i="1"/>
  <c r="K236" i="1" s="1"/>
  <c r="N293" i="1"/>
  <c r="C290" i="1"/>
  <c r="N236" i="1" l="1"/>
  <c r="G74" i="1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110" i="2"/>
  <c r="G109" i="2"/>
  <c r="G108" i="2"/>
  <c r="G107" i="2"/>
  <c r="G106" i="2"/>
  <c r="G105" i="2"/>
  <c r="G104" i="2"/>
  <c r="G103" i="2"/>
  <c r="G122" i="2"/>
  <c r="G131" i="2"/>
  <c r="G130" i="2"/>
  <c r="G129" i="2"/>
  <c r="G128" i="2"/>
  <c r="G136" i="2"/>
  <c r="G135" i="2"/>
  <c r="G134" i="2"/>
  <c r="G133" i="2"/>
  <c r="G139" i="2"/>
  <c r="G138" i="2"/>
  <c r="G143" i="2"/>
  <c r="G142" i="2"/>
  <c r="G141" i="2"/>
  <c r="G146" i="2"/>
  <c r="G145" i="2"/>
  <c r="G148" i="2"/>
  <c r="G151" i="2"/>
  <c r="G150" i="2"/>
  <c r="G156" i="2"/>
  <c r="G155" i="2"/>
  <c r="G154" i="2"/>
  <c r="G153" i="2"/>
  <c r="G161" i="2"/>
  <c r="G160" i="2"/>
  <c r="G159" i="2"/>
  <c r="G158" i="2"/>
  <c r="G165" i="2"/>
  <c r="G164" i="2"/>
  <c r="G168" i="2"/>
  <c r="G167" i="2"/>
  <c r="G173" i="2"/>
  <c r="G172" i="2"/>
  <c r="G178" i="2"/>
  <c r="G177" i="2"/>
  <c r="G176" i="2"/>
  <c r="G175" i="2"/>
  <c r="G183" i="2"/>
  <c r="G182" i="2"/>
  <c r="G191" i="2"/>
  <c r="G190" i="2"/>
  <c r="G195" i="2"/>
  <c r="G204" i="2"/>
  <c r="G203" i="2"/>
  <c r="G202" i="2"/>
  <c r="G208" i="2"/>
  <c r="G207" i="2"/>
  <c r="G211" i="2"/>
  <c r="G217" i="2"/>
  <c r="G220" i="2"/>
  <c r="G219" i="2"/>
  <c r="G228" i="2"/>
  <c r="G227" i="2"/>
  <c r="G226" i="2"/>
  <c r="G225" i="2"/>
  <c r="G224" i="2"/>
  <c r="G223" i="2"/>
  <c r="G222" i="2"/>
  <c r="G233" i="2"/>
  <c r="G232" i="2"/>
  <c r="G234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83" i="2"/>
  <c r="G282" i="2"/>
  <c r="G281" i="2"/>
  <c r="G280" i="2"/>
  <c r="G279" i="2"/>
  <c r="G278" i="2"/>
  <c r="G277" i="2"/>
  <c r="G276" i="2"/>
  <c r="G275" i="2"/>
  <c r="G274" i="2"/>
  <c r="G273" i="2"/>
  <c r="G287" i="2"/>
  <c r="G286" i="2"/>
  <c r="G293" i="2"/>
  <c r="G291" i="2"/>
  <c r="G290" i="2"/>
  <c r="G289" i="2"/>
  <c r="G304" i="2"/>
  <c r="G303" i="2"/>
  <c r="G302" i="2"/>
  <c r="G301" i="2"/>
  <c r="G300" i="2"/>
  <c r="G299" i="2"/>
  <c r="G307" i="2"/>
  <c r="G306" i="2"/>
  <c r="G314" i="2"/>
  <c r="G313" i="2"/>
  <c r="G312" i="2"/>
  <c r="G311" i="2"/>
  <c r="G328" i="2"/>
  <c r="G327" i="2"/>
  <c r="G326" i="2"/>
  <c r="G325" i="2"/>
  <c r="G324" i="2"/>
  <c r="G323" i="2"/>
  <c r="G322" i="2"/>
  <c r="G321" i="2"/>
  <c r="G320" i="2"/>
  <c r="G331" i="2"/>
  <c r="G332" i="2"/>
  <c r="G333" i="2"/>
  <c r="G334" i="2"/>
  <c r="G335" i="2"/>
  <c r="G330" i="2"/>
  <c r="G336" i="2"/>
  <c r="G329" i="2"/>
  <c r="G319" i="2"/>
  <c r="G318" i="2"/>
  <c r="G317" i="2"/>
  <c r="G316" i="2"/>
  <c r="G315" i="2"/>
  <c r="G310" i="2"/>
  <c r="G309" i="2"/>
  <c r="G308" i="2"/>
  <c r="G305" i="2"/>
  <c r="G285" i="2"/>
  <c r="G288" i="2"/>
  <c r="G292" i="2"/>
  <c r="G294" i="2"/>
  <c r="G295" i="2"/>
  <c r="G296" i="2"/>
  <c r="G297" i="2"/>
  <c r="G298" i="2"/>
  <c r="G284" i="2"/>
  <c r="G272" i="2"/>
  <c r="G250" i="2"/>
  <c r="G251" i="2"/>
  <c r="G252" i="2"/>
  <c r="G253" i="2"/>
  <c r="G254" i="2"/>
  <c r="G255" i="2"/>
  <c r="G256" i="2"/>
  <c r="G257" i="2"/>
  <c r="G258" i="2"/>
  <c r="G259" i="2"/>
  <c r="G249" i="2"/>
  <c r="G218" i="2"/>
  <c r="G221" i="2"/>
  <c r="G229" i="2"/>
  <c r="G230" i="2"/>
  <c r="G231" i="2"/>
  <c r="G206" i="2"/>
  <c r="G209" i="2"/>
  <c r="G210" i="2"/>
  <c r="G212" i="2"/>
  <c r="G213" i="2"/>
  <c r="G214" i="2"/>
  <c r="G215" i="2"/>
  <c r="G216" i="2"/>
  <c r="G197" i="2"/>
  <c r="G198" i="2"/>
  <c r="G199" i="2"/>
  <c r="G200" i="2"/>
  <c r="G201" i="2"/>
  <c r="G205" i="2"/>
  <c r="G112" i="2"/>
  <c r="G113" i="2"/>
  <c r="G114" i="2"/>
  <c r="G115" i="2"/>
  <c r="G116" i="2"/>
  <c r="G117" i="2"/>
  <c r="G118" i="2"/>
  <c r="G119" i="2"/>
  <c r="G120" i="2"/>
  <c r="G121" i="2"/>
  <c r="G123" i="2"/>
  <c r="G124" i="2"/>
  <c r="G125" i="2"/>
  <c r="G126" i="2"/>
  <c r="G127" i="2"/>
  <c r="G132" i="2"/>
  <c r="G137" i="2"/>
  <c r="G140" i="2"/>
  <c r="G144" i="2"/>
  <c r="G147" i="2"/>
  <c r="G149" i="2"/>
  <c r="G152" i="2"/>
  <c r="G157" i="2"/>
  <c r="G162" i="2"/>
  <c r="G163" i="2"/>
  <c r="G166" i="2"/>
  <c r="G169" i="2"/>
  <c r="G170" i="2"/>
  <c r="G171" i="2"/>
  <c r="G174" i="2"/>
  <c r="G179" i="2"/>
  <c r="G180" i="2"/>
  <c r="G181" i="2"/>
  <c r="G184" i="2"/>
  <c r="G185" i="2"/>
  <c r="G186" i="2"/>
  <c r="G187" i="2"/>
  <c r="G188" i="2"/>
  <c r="G189" i="2"/>
  <c r="G192" i="2"/>
  <c r="G193" i="2"/>
  <c r="G194" i="2"/>
  <c r="G196" i="2"/>
  <c r="G111" i="2"/>
  <c r="G99" i="2"/>
  <c r="G100" i="2"/>
  <c r="G101" i="2"/>
  <c r="G102" i="2"/>
  <c r="G98" i="2"/>
  <c r="I74" i="1" l="1"/>
  <c r="E154" i="1" l="1"/>
  <c r="E91" i="1" s="1"/>
  <c r="H154" i="1"/>
  <c r="H91" i="1" s="1"/>
  <c r="K154" i="1"/>
  <c r="K91" i="1" s="1"/>
  <c r="N154" i="1"/>
  <c r="N91" i="1" s="1"/>
  <c r="C430" i="1"/>
  <c r="C291" i="1" l="1"/>
  <c r="E291" i="1" l="1"/>
  <c r="E234" i="1" s="1"/>
  <c r="H291" i="1"/>
  <c r="H234" i="1" s="1"/>
  <c r="K291" i="1"/>
  <c r="K234" i="1" s="1"/>
  <c r="N291" i="1"/>
  <c r="N234" i="1" s="1"/>
  <c r="C234" i="1"/>
  <c r="E74" i="1"/>
  <c r="C231" i="1"/>
  <c r="C426" i="1"/>
  <c r="C425" i="1"/>
  <c r="C412" i="1"/>
  <c r="C357" i="1"/>
  <c r="D348" i="1"/>
  <c r="D342" i="1"/>
  <c r="C305" i="1"/>
  <c r="C304" i="1"/>
  <c r="D223" i="1"/>
  <c r="D215" i="1"/>
  <c r="C170" i="1"/>
  <c r="C168" i="1"/>
  <c r="C165" i="1"/>
  <c r="C164" i="1"/>
  <c r="C162" i="1"/>
  <c r="C102" i="1"/>
  <c r="D80" i="1"/>
  <c r="C75" i="1"/>
  <c r="G75" i="1" s="1"/>
  <c r="H74" i="1"/>
  <c r="F74" i="1"/>
  <c r="D74" i="1"/>
  <c r="C74" i="1"/>
  <c r="B74" i="1"/>
  <c r="K155" i="1" l="1"/>
  <c r="E155" i="1"/>
  <c r="E92" i="1" s="1"/>
  <c r="H155" i="1"/>
  <c r="H92" i="1" s="1"/>
  <c r="K152" i="1"/>
  <c r="K89" i="1" s="1"/>
  <c r="E152" i="1"/>
  <c r="E89" i="1" s="1"/>
  <c r="H152" i="1"/>
  <c r="H89" i="1" s="1"/>
  <c r="K161" i="1"/>
  <c r="K98" i="1" s="1"/>
  <c r="E161" i="1"/>
  <c r="E98" i="1" s="1"/>
  <c r="H161" i="1"/>
  <c r="H98" i="1" s="1"/>
  <c r="H209" i="1"/>
  <c r="H336" i="1"/>
  <c r="K165" i="1"/>
  <c r="K102" i="1" s="1"/>
  <c r="H165" i="1"/>
  <c r="H102" i="1" s="1"/>
  <c r="E165" i="1"/>
  <c r="E102" i="1" s="1"/>
  <c r="E406" i="1"/>
  <c r="H406" i="1"/>
  <c r="K406" i="1"/>
  <c r="E284" i="1"/>
  <c r="E227" i="1" s="1"/>
  <c r="H284" i="1"/>
  <c r="K284" i="1"/>
  <c r="E412" i="1"/>
  <c r="E357" i="1" s="1"/>
  <c r="K412" i="1"/>
  <c r="K357" i="1" s="1"/>
  <c r="H412" i="1"/>
  <c r="H357" i="1" s="1"/>
  <c r="I75" i="1"/>
  <c r="N165" i="1"/>
  <c r="N102" i="1" s="1"/>
  <c r="N406" i="1"/>
  <c r="N155" i="1"/>
  <c r="N92" i="1" s="1"/>
  <c r="K92" i="1"/>
  <c r="N412" i="1"/>
  <c r="N357" i="1" s="1"/>
  <c r="N284" i="1"/>
  <c r="N152" i="1"/>
  <c r="N89" i="1" s="1"/>
  <c r="N161" i="1"/>
  <c r="N98" i="1" s="1"/>
  <c r="C228" i="1"/>
  <c r="D82" i="1"/>
  <c r="S27" i="1"/>
  <c r="T27" i="1" s="1"/>
  <c r="U27" i="1" s="1"/>
  <c r="V27" i="1" s="1"/>
  <c r="W27" i="1" s="1"/>
  <c r="S25" i="1"/>
  <c r="T25" i="1" s="1"/>
  <c r="U25" i="1" s="1"/>
  <c r="V25" i="1" s="1"/>
  <c r="W25" i="1" s="1"/>
  <c r="S23" i="1"/>
  <c r="T23" i="1" s="1"/>
  <c r="U23" i="1" s="1"/>
  <c r="V23" i="1" s="1"/>
  <c r="W23" i="1" s="1"/>
  <c r="S21" i="1"/>
  <c r="T21" i="1" s="1"/>
  <c r="U21" i="1" s="1"/>
  <c r="V21" i="1" s="1"/>
  <c r="W21" i="1" s="1"/>
  <c r="S19" i="1"/>
  <c r="T19" i="1" s="1"/>
  <c r="U19" i="1" s="1"/>
  <c r="V19" i="1" s="1"/>
  <c r="W19" i="1" s="1"/>
  <c r="S17" i="1"/>
  <c r="T17" i="1" s="1"/>
  <c r="U17" i="1" s="1"/>
  <c r="V17" i="1" s="1"/>
  <c r="W17" i="1" s="1"/>
  <c r="R26" i="1"/>
  <c r="R20" i="1"/>
  <c r="R27" i="1"/>
  <c r="R25" i="1"/>
  <c r="R23" i="1"/>
  <c r="R21" i="1"/>
  <c r="R19" i="1"/>
  <c r="R17" i="1"/>
  <c r="R28" i="1"/>
  <c r="S28" i="1"/>
  <c r="T28" i="1" s="1"/>
  <c r="U28" i="1" s="1"/>
  <c r="V28" i="1" s="1"/>
  <c r="W28" i="1" s="1"/>
  <c r="S26" i="1"/>
  <c r="T26" i="1" s="1"/>
  <c r="U26" i="1" s="1"/>
  <c r="V26" i="1" s="1"/>
  <c r="W26" i="1" s="1"/>
  <c r="S24" i="1"/>
  <c r="T24" i="1" s="1"/>
  <c r="U24" i="1" s="1"/>
  <c r="V24" i="1" s="1"/>
  <c r="W24" i="1" s="1"/>
  <c r="S22" i="1"/>
  <c r="T22" i="1" s="1"/>
  <c r="U22" i="1" s="1"/>
  <c r="V22" i="1" s="1"/>
  <c r="W22" i="1" s="1"/>
  <c r="S20" i="1"/>
  <c r="T20" i="1" s="1"/>
  <c r="U20" i="1" s="1"/>
  <c r="V20" i="1" s="1"/>
  <c r="W20" i="1" s="1"/>
  <c r="S18" i="1"/>
  <c r="T18" i="1" s="1"/>
  <c r="U18" i="1" s="1"/>
  <c r="V18" i="1" s="1"/>
  <c r="W18" i="1" s="1"/>
  <c r="R24" i="1"/>
  <c r="R22" i="1"/>
  <c r="R18" i="1"/>
  <c r="C239" i="1"/>
  <c r="C353" i="1"/>
  <c r="C240" i="1"/>
  <c r="C362" i="1"/>
  <c r="C363" i="1"/>
  <c r="C229" i="1"/>
  <c r="D83" i="1"/>
  <c r="C157" i="1"/>
  <c r="C94" i="1" s="1"/>
  <c r="C285" i="1"/>
  <c r="E168" i="1" l="1"/>
  <c r="H168" i="1"/>
  <c r="K160" i="1"/>
  <c r="K97" i="1" s="1"/>
  <c r="E160" i="1"/>
  <c r="E97" i="1" s="1"/>
  <c r="H160" i="1"/>
  <c r="H97" i="1" s="1"/>
  <c r="H285" i="1"/>
  <c r="H290" i="1"/>
  <c r="E407" i="1"/>
  <c r="E410" i="1" s="1"/>
  <c r="K151" i="1"/>
  <c r="E151" i="1"/>
  <c r="H151" i="1"/>
  <c r="K164" i="1"/>
  <c r="K101" i="1" s="1"/>
  <c r="H164" i="1"/>
  <c r="H101" i="1" s="1"/>
  <c r="E164" i="1"/>
  <c r="E101" i="1" s="1"/>
  <c r="E285" i="1"/>
  <c r="E228" i="1" s="1"/>
  <c r="E290" i="1"/>
  <c r="K407" i="1"/>
  <c r="K285" i="1"/>
  <c r="K290" i="1"/>
  <c r="H407" i="1"/>
  <c r="E170" i="1"/>
  <c r="E107" i="1" s="1"/>
  <c r="H105" i="1"/>
  <c r="K171" i="1"/>
  <c r="K108" i="1" s="1"/>
  <c r="H171" i="1"/>
  <c r="H108" i="1" s="1"/>
  <c r="K170" i="1"/>
  <c r="K107" i="1" s="1"/>
  <c r="H170" i="1"/>
  <c r="H107" i="1" s="1"/>
  <c r="E171" i="1"/>
  <c r="E108" i="1" s="1"/>
  <c r="K168" i="1"/>
  <c r="K105" i="1" s="1"/>
  <c r="E351" i="1"/>
  <c r="E105" i="1"/>
  <c r="N164" i="1"/>
  <c r="N101" i="1" s="1"/>
  <c r="K227" i="1"/>
  <c r="K351" i="1"/>
  <c r="H227" i="1"/>
  <c r="H351" i="1"/>
  <c r="N170" i="1"/>
  <c r="N107" i="1" s="1"/>
  <c r="N168" i="1"/>
  <c r="N105" i="1" s="1"/>
  <c r="N171" i="1"/>
  <c r="N108" i="1" s="1"/>
  <c r="N160" i="1"/>
  <c r="N97" i="1" s="1"/>
  <c r="N151" i="1"/>
  <c r="N290" i="1"/>
  <c r="N233" i="1" s="1"/>
  <c r="N285" i="1"/>
  <c r="N228" i="1" s="1"/>
  <c r="N227" i="1"/>
  <c r="N407" i="1"/>
  <c r="N351" i="1"/>
  <c r="I28" i="1"/>
  <c r="I19" i="1"/>
  <c r="I23" i="1"/>
  <c r="I20" i="1"/>
  <c r="I24" i="1"/>
  <c r="I27" i="1"/>
  <c r="I26" i="1"/>
  <c r="I18" i="1"/>
  <c r="I25" i="1"/>
  <c r="I17" i="1"/>
  <c r="I22" i="1"/>
  <c r="I21" i="1"/>
  <c r="K289" i="1" l="1"/>
  <c r="K294" i="1" s="1"/>
  <c r="K300" i="1" s="1"/>
  <c r="H228" i="1"/>
  <c r="H289" i="1"/>
  <c r="I303" i="1" s="1"/>
  <c r="L305" i="1"/>
  <c r="E414" i="1"/>
  <c r="E421" i="1" s="1"/>
  <c r="E355" i="1"/>
  <c r="L302" i="1"/>
  <c r="L303" i="1"/>
  <c r="F423" i="1"/>
  <c r="H233" i="1"/>
  <c r="K233" i="1"/>
  <c r="L304" i="1"/>
  <c r="K228" i="1"/>
  <c r="H410" i="1"/>
  <c r="I423" i="1" s="1"/>
  <c r="H352" i="1"/>
  <c r="E289" i="1"/>
  <c r="F302" i="1" s="1"/>
  <c r="E233" i="1"/>
  <c r="F425" i="1"/>
  <c r="F370" i="1" s="1"/>
  <c r="K156" i="1"/>
  <c r="K158" i="1" s="1"/>
  <c r="H156" i="1"/>
  <c r="H158" i="1" s="1"/>
  <c r="E156" i="1"/>
  <c r="E158" i="1" s="1"/>
  <c r="E95" i="1" s="1"/>
  <c r="F426" i="1"/>
  <c r="F371" i="1" s="1"/>
  <c r="F441" i="1"/>
  <c r="F445" i="1" s="1"/>
  <c r="F390" i="1" s="1"/>
  <c r="K410" i="1"/>
  <c r="L426" i="1" s="1"/>
  <c r="F424" i="1"/>
  <c r="F369" i="1" s="1"/>
  <c r="K157" i="1"/>
  <c r="K94" i="1" s="1"/>
  <c r="K162" i="1"/>
  <c r="K99" i="1" s="1"/>
  <c r="E157" i="1"/>
  <c r="E94" i="1" s="1"/>
  <c r="E162" i="1"/>
  <c r="E99" i="1" s="1"/>
  <c r="H162" i="1"/>
  <c r="H99" i="1" s="1"/>
  <c r="H157" i="1"/>
  <c r="E352" i="1"/>
  <c r="E359" i="1"/>
  <c r="E88" i="1"/>
  <c r="K232" i="1"/>
  <c r="K352" i="1"/>
  <c r="K88" i="1"/>
  <c r="H88" i="1"/>
  <c r="N156" i="1"/>
  <c r="N289" i="1"/>
  <c r="N294" i="1" s="1"/>
  <c r="N157" i="1"/>
  <c r="N94" i="1" s="1"/>
  <c r="N88" i="1"/>
  <c r="N162" i="1"/>
  <c r="N99" i="1" s="1"/>
  <c r="N352" i="1"/>
  <c r="N410" i="1"/>
  <c r="O423" i="1" s="1"/>
  <c r="H294" i="1" l="1"/>
  <c r="H300" i="1" s="1"/>
  <c r="I302" i="1"/>
  <c r="I305" i="1"/>
  <c r="I248" i="1" s="1"/>
  <c r="I304" i="1"/>
  <c r="I247" i="1" s="1"/>
  <c r="I424" i="1"/>
  <c r="I369" i="1" s="1"/>
  <c r="L306" i="1"/>
  <c r="L308" i="1" s="1"/>
  <c r="I425" i="1"/>
  <c r="I370" i="1" s="1"/>
  <c r="E232" i="1"/>
  <c r="I426" i="1"/>
  <c r="I371" i="1" s="1"/>
  <c r="F386" i="1"/>
  <c r="F446" i="1"/>
  <c r="F391" i="1" s="1"/>
  <c r="L423" i="1"/>
  <c r="L424" i="1"/>
  <c r="L369" i="1" s="1"/>
  <c r="K414" i="1"/>
  <c r="K421" i="1" s="1"/>
  <c r="L425" i="1"/>
  <c r="L370" i="1" s="1"/>
  <c r="L441" i="1"/>
  <c r="L386" i="1" s="1"/>
  <c r="F443" i="1"/>
  <c r="F388" i="1" s="1"/>
  <c r="H414" i="1"/>
  <c r="H421" i="1" s="1"/>
  <c r="F304" i="1"/>
  <c r="F247" i="1" s="1"/>
  <c r="F305" i="1"/>
  <c r="F248" i="1" s="1"/>
  <c r="F320" i="1"/>
  <c r="E294" i="1"/>
  <c r="E300" i="1" s="1"/>
  <c r="F303" i="1"/>
  <c r="F246" i="1" s="1"/>
  <c r="F427" i="1"/>
  <c r="F429" i="1" s="1"/>
  <c r="H94" i="1"/>
  <c r="H184" i="1"/>
  <c r="E93" i="1"/>
  <c r="F368" i="1"/>
  <c r="L320" i="1"/>
  <c r="L326" i="1" s="1"/>
  <c r="L268" i="1" s="1"/>
  <c r="E366" i="1"/>
  <c r="F449" i="1"/>
  <c r="E184" i="1"/>
  <c r="F245" i="1"/>
  <c r="L248" i="1"/>
  <c r="K184" i="1"/>
  <c r="L246" i="1"/>
  <c r="L247" i="1"/>
  <c r="L245" i="1"/>
  <c r="K355" i="1"/>
  <c r="O426" i="1"/>
  <c r="O371" i="1" s="1"/>
  <c r="H355" i="1"/>
  <c r="I441" i="1"/>
  <c r="L371" i="1"/>
  <c r="H232" i="1"/>
  <c r="I320" i="1"/>
  <c r="I246" i="1"/>
  <c r="H93" i="1"/>
  <c r="H95" i="1"/>
  <c r="K93" i="1"/>
  <c r="K95" i="1"/>
  <c r="O425" i="1"/>
  <c r="O370" i="1" s="1"/>
  <c r="O302" i="1"/>
  <c r="O245" i="1" s="1"/>
  <c r="N232" i="1"/>
  <c r="O304" i="1"/>
  <c r="O247" i="1" s="1"/>
  <c r="O303" i="1"/>
  <c r="O246" i="1" s="1"/>
  <c r="O320" i="1"/>
  <c r="O305" i="1"/>
  <c r="O248" i="1" s="1"/>
  <c r="N93" i="1"/>
  <c r="N158" i="1"/>
  <c r="N237" i="1"/>
  <c r="N300" i="1"/>
  <c r="N355" i="1"/>
  <c r="N414" i="1"/>
  <c r="N421" i="1" s="1"/>
  <c r="O424" i="1"/>
  <c r="O369" i="1" s="1"/>
  <c r="O441" i="1"/>
  <c r="N184" i="1"/>
  <c r="H237" i="1" l="1"/>
  <c r="I306" i="1"/>
  <c r="I308" i="1" s="1"/>
  <c r="L446" i="1"/>
  <c r="L391" i="1" s="1"/>
  <c r="I427" i="1"/>
  <c r="I429" i="1" s="1"/>
  <c r="K359" i="1"/>
  <c r="L427" i="1"/>
  <c r="L429" i="1" s="1"/>
  <c r="L445" i="1"/>
  <c r="L390" i="1" s="1"/>
  <c r="L443" i="1"/>
  <c r="L388" i="1" s="1"/>
  <c r="F372" i="1"/>
  <c r="F263" i="1"/>
  <c r="F326" i="1"/>
  <c r="F268" i="1" s="1"/>
  <c r="F324" i="1"/>
  <c r="F267" i="1" s="1"/>
  <c r="F322" i="1"/>
  <c r="F265" i="1" s="1"/>
  <c r="L368" i="1"/>
  <c r="E237" i="1"/>
  <c r="F306" i="1"/>
  <c r="G166" i="1"/>
  <c r="G163" i="1"/>
  <c r="G161" i="1"/>
  <c r="E121" i="1"/>
  <c r="M161" i="1"/>
  <c r="M166" i="1"/>
  <c r="M163" i="1"/>
  <c r="K121" i="1"/>
  <c r="L263" i="1"/>
  <c r="E185" i="1"/>
  <c r="E122" i="1" s="1"/>
  <c r="L322" i="1"/>
  <c r="L265" i="1" s="1"/>
  <c r="E343" i="1"/>
  <c r="I338" i="1" s="1"/>
  <c r="F374" i="1"/>
  <c r="E243" i="1"/>
  <c r="F394" i="1"/>
  <c r="F451" i="1"/>
  <c r="F396" i="1" s="1"/>
  <c r="L324" i="1"/>
  <c r="L267" i="1" s="1"/>
  <c r="L249" i="1"/>
  <c r="K237" i="1"/>
  <c r="K366" i="1"/>
  <c r="I445" i="1"/>
  <c r="I390" i="1" s="1"/>
  <c r="I443" i="1"/>
  <c r="I388" i="1" s="1"/>
  <c r="I386" i="1"/>
  <c r="H243" i="1"/>
  <c r="I368" i="1"/>
  <c r="I249" i="1"/>
  <c r="I245" i="1"/>
  <c r="I263" i="1"/>
  <c r="I322" i="1"/>
  <c r="I265" i="1" s="1"/>
  <c r="I324" i="1"/>
  <c r="I267" i="1" s="1"/>
  <c r="H121" i="1"/>
  <c r="H359" i="1"/>
  <c r="I326" i="1"/>
  <c r="I268" i="1" s="1"/>
  <c r="I446" i="1"/>
  <c r="I391" i="1" s="1"/>
  <c r="P161" i="1"/>
  <c r="P98" i="1" s="1"/>
  <c r="P166" i="1"/>
  <c r="H185" i="1"/>
  <c r="K185" i="1"/>
  <c r="K122" i="1" s="1"/>
  <c r="N185" i="1"/>
  <c r="P163" i="1"/>
  <c r="P158" i="1" s="1"/>
  <c r="O306" i="1"/>
  <c r="O249" i="1" s="1"/>
  <c r="O322" i="1"/>
  <c r="O265" i="1" s="1"/>
  <c r="O263" i="1"/>
  <c r="O324" i="1"/>
  <c r="O267" i="1" s="1"/>
  <c r="O326" i="1"/>
  <c r="O268" i="1" s="1"/>
  <c r="N121" i="1"/>
  <c r="O386" i="1"/>
  <c r="O443" i="1"/>
  <c r="O388" i="1" s="1"/>
  <c r="N359" i="1"/>
  <c r="O446" i="1"/>
  <c r="O391" i="1" s="1"/>
  <c r="N95" i="1"/>
  <c r="O445" i="1"/>
  <c r="O390" i="1" s="1"/>
  <c r="O368" i="1"/>
  <c r="O427" i="1"/>
  <c r="O372" i="1" s="1"/>
  <c r="N243" i="1"/>
  <c r="I372" i="1" l="1"/>
  <c r="L372" i="1"/>
  <c r="L449" i="1"/>
  <c r="L394" i="1" s="1"/>
  <c r="F308" i="1"/>
  <c r="E216" i="1" s="1"/>
  <c r="I211" i="1" s="1"/>
  <c r="F249" i="1"/>
  <c r="F329" i="1"/>
  <c r="H122" i="1"/>
  <c r="J166" i="1"/>
  <c r="J103" i="1" s="1"/>
  <c r="G103" i="1"/>
  <c r="J163" i="1"/>
  <c r="J158" i="1" s="1"/>
  <c r="H163" i="1" s="1"/>
  <c r="G158" i="1"/>
  <c r="E163" i="1" s="1"/>
  <c r="J161" i="1"/>
  <c r="J98" i="1" s="1"/>
  <c r="G98" i="1"/>
  <c r="M103" i="1"/>
  <c r="M98" i="1"/>
  <c r="F271" i="1"/>
  <c r="I329" i="1"/>
  <c r="I331" i="1" s="1"/>
  <c r="I273" i="1" s="1"/>
  <c r="I310" i="1"/>
  <c r="L329" i="1"/>
  <c r="K243" i="1"/>
  <c r="K343" i="1"/>
  <c r="G338" i="1" s="1"/>
  <c r="I449" i="1"/>
  <c r="F431" i="1"/>
  <c r="H366" i="1"/>
  <c r="I251" i="1"/>
  <c r="H216" i="1"/>
  <c r="H211" i="1" s="1"/>
  <c r="M100" i="1"/>
  <c r="M158" i="1"/>
  <c r="K163" i="1" s="1"/>
  <c r="P100" i="1"/>
  <c r="P103" i="1"/>
  <c r="O308" i="1"/>
  <c r="I316" i="1" s="1"/>
  <c r="O329" i="1"/>
  <c r="O429" i="1"/>
  <c r="I437" i="1" s="1"/>
  <c r="I438" i="1" s="1"/>
  <c r="O449" i="1"/>
  <c r="N366" i="1"/>
  <c r="P95" i="1"/>
  <c r="N163" i="1"/>
  <c r="F310" i="1" l="1"/>
  <c r="F311" i="1" s="1"/>
  <c r="F254" i="1" s="1"/>
  <c r="F251" i="1"/>
  <c r="F331" i="1"/>
  <c r="F273" i="1" s="1"/>
  <c r="F177" i="1"/>
  <c r="F175" i="1"/>
  <c r="F174" i="1"/>
  <c r="G100" i="1"/>
  <c r="I177" i="1"/>
  <c r="I175" i="1"/>
  <c r="I174" i="1"/>
  <c r="L177" i="1"/>
  <c r="L175" i="1"/>
  <c r="L174" i="1"/>
  <c r="H159" i="1"/>
  <c r="H167" i="1" s="1"/>
  <c r="H172" i="1" s="1"/>
  <c r="J100" i="1"/>
  <c r="E159" i="1"/>
  <c r="E167" i="1" s="1"/>
  <c r="E172" i="1" s="1"/>
  <c r="F313" i="1"/>
  <c r="F314" i="1" s="1"/>
  <c r="F257" i="1" s="1"/>
  <c r="K159" i="1"/>
  <c r="K167" i="1" s="1"/>
  <c r="K172" i="1" s="1"/>
  <c r="I271" i="1"/>
  <c r="F437" i="1"/>
  <c r="F434" i="1"/>
  <c r="F376" i="1"/>
  <c r="F432" i="1"/>
  <c r="F377" i="1" s="1"/>
  <c r="L374" i="1"/>
  <c r="G95" i="1"/>
  <c r="F316" i="1"/>
  <c r="I383" i="1"/>
  <c r="H341" i="1" s="1"/>
  <c r="L434" i="1"/>
  <c r="L379" i="1" s="1"/>
  <c r="L451" i="1"/>
  <c r="L396" i="1" s="1"/>
  <c r="I317" i="1"/>
  <c r="I260" i="1" s="1"/>
  <c r="H214" i="1" s="1"/>
  <c r="I259" i="1"/>
  <c r="L331" i="1"/>
  <c r="L273" i="1" s="1"/>
  <c r="L271" i="1"/>
  <c r="L316" i="1"/>
  <c r="L251" i="1"/>
  <c r="K216" i="1"/>
  <c r="G211" i="1" s="1"/>
  <c r="L437" i="1"/>
  <c r="L382" i="1" s="1"/>
  <c r="L431" i="1"/>
  <c r="I253" i="1"/>
  <c r="I311" i="1"/>
  <c r="I254" i="1" s="1"/>
  <c r="O251" i="1"/>
  <c r="L310" i="1"/>
  <c r="L313" i="1"/>
  <c r="I374" i="1"/>
  <c r="H343" i="1"/>
  <c r="H338" i="1" s="1"/>
  <c r="I434" i="1"/>
  <c r="I431" i="1"/>
  <c r="I313" i="1"/>
  <c r="I451" i="1"/>
  <c r="I396" i="1" s="1"/>
  <c r="I394" i="1"/>
  <c r="J95" i="1"/>
  <c r="M95" i="1"/>
  <c r="N216" i="1"/>
  <c r="F211" i="1" s="1"/>
  <c r="I212" i="1" s="1"/>
  <c r="I213" i="1" s="1"/>
  <c r="O331" i="1"/>
  <c r="O273" i="1" s="1"/>
  <c r="O254" i="1"/>
  <c r="O177" i="1"/>
  <c r="O114" i="1" s="1"/>
  <c r="O175" i="1"/>
  <c r="O112" i="1" s="1"/>
  <c r="O174" i="1"/>
  <c r="O271" i="1"/>
  <c r="O451" i="1"/>
  <c r="O396" i="1" s="1"/>
  <c r="O394" i="1"/>
  <c r="N100" i="1"/>
  <c r="N159" i="1"/>
  <c r="O374" i="1"/>
  <c r="N343" i="1"/>
  <c r="F338" i="1" s="1"/>
  <c r="F253" i="1" l="1"/>
  <c r="F256" i="1"/>
  <c r="H212" i="1"/>
  <c r="H213" i="1" s="1"/>
  <c r="G339" i="1"/>
  <c r="G340" i="1" s="1"/>
  <c r="I339" i="1"/>
  <c r="I340" i="1" s="1"/>
  <c r="H339" i="1"/>
  <c r="H340" i="1" s="1"/>
  <c r="G212" i="1"/>
  <c r="G213" i="1" s="1"/>
  <c r="F179" i="1"/>
  <c r="F181" i="1" s="1"/>
  <c r="I179" i="1"/>
  <c r="I181" i="1" s="1"/>
  <c r="L179" i="1"/>
  <c r="L181" i="1" s="1"/>
  <c r="I382" i="1"/>
  <c r="F259" i="1"/>
  <c r="F317" i="1"/>
  <c r="F260" i="1" s="1"/>
  <c r="I214" i="1" s="1"/>
  <c r="E100" i="1"/>
  <c r="F112" i="1"/>
  <c r="F114" i="1"/>
  <c r="F435" i="1"/>
  <c r="F380" i="1" s="1"/>
  <c r="F379" i="1"/>
  <c r="F438" i="1"/>
  <c r="F383" i="1" s="1"/>
  <c r="F382" i="1"/>
  <c r="L435" i="1"/>
  <c r="L380" i="1" s="1"/>
  <c r="L438" i="1"/>
  <c r="L383" i="1" s="1"/>
  <c r="G341" i="1" s="1"/>
  <c r="L317" i="1"/>
  <c r="L260" i="1" s="1"/>
  <c r="G214" i="1" s="1"/>
  <c r="L259" i="1"/>
  <c r="I435" i="1"/>
  <c r="I380" i="1" s="1"/>
  <c r="I379" i="1"/>
  <c r="L311" i="1"/>
  <c r="L254" i="1" s="1"/>
  <c r="L253" i="1"/>
  <c r="L376" i="1"/>
  <c r="L432" i="1"/>
  <c r="L377" i="1" s="1"/>
  <c r="I432" i="1"/>
  <c r="I377" i="1" s="1"/>
  <c r="I376" i="1"/>
  <c r="L256" i="1"/>
  <c r="L314" i="1"/>
  <c r="L257" i="1" s="1"/>
  <c r="I314" i="1"/>
  <c r="I257" i="1" s="1"/>
  <c r="I256" i="1"/>
  <c r="L112" i="1"/>
  <c r="I112" i="1"/>
  <c r="I114" i="1"/>
  <c r="K100" i="1"/>
  <c r="L114" i="1"/>
  <c r="H100" i="1"/>
  <c r="O253" i="1"/>
  <c r="O111" i="1"/>
  <c r="O179" i="1"/>
  <c r="O116" i="1" s="1"/>
  <c r="O377" i="1"/>
  <c r="O376" i="1"/>
  <c r="N96" i="1"/>
  <c r="N167" i="1"/>
  <c r="N172" i="1" s="1"/>
  <c r="O196" i="1"/>
  <c r="F116" i="1" l="1"/>
  <c r="F111" i="1"/>
  <c r="E96" i="1"/>
  <c r="F196" i="1"/>
  <c r="O200" i="1"/>
  <c r="O137" i="1" s="1"/>
  <c r="O201" i="1"/>
  <c r="O138" i="1" s="1"/>
  <c r="H96" i="1"/>
  <c r="I196" i="1"/>
  <c r="L111" i="1"/>
  <c r="L116" i="1"/>
  <c r="K96" i="1"/>
  <c r="L196" i="1"/>
  <c r="I111" i="1"/>
  <c r="I116" i="1"/>
  <c r="O260" i="1"/>
  <c r="N104" i="1"/>
  <c r="O198" i="1"/>
  <c r="O135" i="1" s="1"/>
  <c r="O133" i="1"/>
  <c r="I201" i="1" l="1"/>
  <c r="I138" i="1" s="1"/>
  <c r="I200" i="1"/>
  <c r="I137" i="1" s="1"/>
  <c r="L200" i="1"/>
  <c r="L137" i="1" s="1"/>
  <c r="L201" i="1"/>
  <c r="L138" i="1" s="1"/>
  <c r="F201" i="1"/>
  <c r="F200" i="1"/>
  <c r="F137" i="1" s="1"/>
  <c r="F133" i="1"/>
  <c r="F198" i="1"/>
  <c r="F135" i="1" s="1"/>
  <c r="F138" i="1"/>
  <c r="E104" i="1"/>
  <c r="H104" i="1"/>
  <c r="L133" i="1"/>
  <c r="L198" i="1"/>
  <c r="L135" i="1" s="1"/>
  <c r="I133" i="1"/>
  <c r="I198" i="1"/>
  <c r="I135" i="1" s="1"/>
  <c r="K104" i="1"/>
  <c r="O257" i="1"/>
  <c r="O256" i="1"/>
  <c r="O259" i="1"/>
  <c r="N109" i="1"/>
  <c r="O204" i="1"/>
  <c r="O181" i="1"/>
  <c r="F204" i="1" l="1"/>
  <c r="E109" i="1"/>
  <c r="L192" i="1"/>
  <c r="L193" i="1" s="1"/>
  <c r="K109" i="1"/>
  <c r="L204" i="1"/>
  <c r="I204" i="1"/>
  <c r="H109" i="1"/>
  <c r="I192" i="1"/>
  <c r="O118" i="1"/>
  <c r="N82" i="1"/>
  <c r="F77" i="1" s="1"/>
  <c r="O206" i="1"/>
  <c r="O143" i="1" s="1"/>
  <c r="O141" i="1"/>
  <c r="F189" i="1" l="1"/>
  <c r="F186" i="1"/>
  <c r="F118" i="1"/>
  <c r="E82" i="1"/>
  <c r="I77" i="1" s="1"/>
  <c r="I78" i="1" s="1"/>
  <c r="I79" i="1" s="1"/>
  <c r="F192" i="1"/>
  <c r="F141" i="1"/>
  <c r="F206" i="1"/>
  <c r="F143" i="1" s="1"/>
  <c r="I193" i="1"/>
  <c r="I130" i="1" s="1"/>
  <c r="H80" i="1" s="1"/>
  <c r="I129" i="1"/>
  <c r="L130" i="1"/>
  <c r="G80" i="1" s="1"/>
  <c r="L129" i="1"/>
  <c r="L186" i="1"/>
  <c r="L189" i="1"/>
  <c r="I189" i="1"/>
  <c r="I186" i="1"/>
  <c r="I206" i="1"/>
  <c r="I143" i="1" s="1"/>
  <c r="I141" i="1"/>
  <c r="L141" i="1"/>
  <c r="L206" i="1"/>
  <c r="L143" i="1" s="1"/>
  <c r="I118" i="1"/>
  <c r="H82" i="1"/>
  <c r="H77" i="1" s="1"/>
  <c r="L118" i="1"/>
  <c r="K82" i="1"/>
  <c r="G77" i="1" s="1"/>
  <c r="O123" i="1"/>
  <c r="O124" i="1"/>
  <c r="F187" i="1" l="1"/>
  <c r="F124" i="1" s="1"/>
  <c r="F123" i="1"/>
  <c r="F129" i="1"/>
  <c r="F193" i="1"/>
  <c r="F130" i="1" s="1"/>
  <c r="I80" i="1" s="1"/>
  <c r="F126" i="1"/>
  <c r="F190" i="1"/>
  <c r="F127" i="1" s="1"/>
  <c r="L190" i="1"/>
  <c r="L127" i="1" s="1"/>
  <c r="L126" i="1"/>
  <c r="L123" i="1"/>
  <c r="L187" i="1"/>
  <c r="L124" i="1" s="1"/>
  <c r="I187" i="1"/>
  <c r="I124" i="1" s="1"/>
  <c r="I123" i="1"/>
  <c r="I190" i="1"/>
  <c r="I127" i="1" s="1"/>
  <c r="I126" i="1"/>
  <c r="O383" i="1"/>
  <c r="N122" i="1"/>
  <c r="O382" i="1" l="1"/>
  <c r="O380" i="1"/>
  <c r="O379" i="1"/>
  <c r="O129" i="1" l="1"/>
  <c r="O130" i="1"/>
  <c r="O127" i="1"/>
  <c r="O126" i="1"/>
  <c r="H78" i="1"/>
  <c r="H79" i="1" s="1"/>
  <c r="G78" i="1"/>
  <c r="G79" i="1" s="1"/>
</calcChain>
</file>

<file path=xl/sharedStrings.xml><?xml version="1.0" encoding="utf-8"?>
<sst xmlns="http://schemas.openxmlformats.org/spreadsheetml/2006/main" count="900" uniqueCount="513">
  <si>
    <t>Listado de Cargos</t>
  </si>
  <si>
    <t>Por favor avisar si encuentran errores</t>
  </si>
  <si>
    <t>Solo completar los datos en rojo</t>
  </si>
  <si>
    <t>Escala de antigüedades</t>
  </si>
  <si>
    <t>Años</t>
  </si>
  <si>
    <t>Porcentaje</t>
  </si>
  <si>
    <t>Final</t>
  </si>
  <si>
    <t>hasta 971</t>
  </si>
  <si>
    <t>972&lt;pi&lt;= 1169</t>
  </si>
  <si>
    <t>1170&lt;pi&lt;1400</t>
  </si>
  <si>
    <t>1401&lt;pi&lt;1942</t>
  </si>
  <si>
    <t>1943&lt;pi&lt;=2220</t>
  </si>
  <si>
    <t>pi&gt;2220</t>
  </si>
  <si>
    <t>pijc&gt;=620 971</t>
  </si>
  <si>
    <t>JC &gt; 971</t>
  </si>
  <si>
    <t>JC defint</t>
  </si>
  <si>
    <t>Porc aumento índice</t>
  </si>
  <si>
    <t>18,00%</t>
  </si>
  <si>
    <t>Nuevo Índice</t>
  </si>
  <si>
    <t>#¿NOMBRE?</t>
  </si>
  <si>
    <t>Auminddic</t>
  </si>
  <si>
    <t>Para conocer el código del cargo hacer clic en la hoja cargos</t>
  </si>
  <si>
    <t>Porc aumento prol Jornada</t>
  </si>
  <si>
    <t>20,00%</t>
  </si>
  <si>
    <t>Nuevo Prol Jorn</t>
  </si>
  <si>
    <t>aumjorcompdic</t>
  </si>
  <si>
    <t>% de aum código 06</t>
  </si>
  <si>
    <t>16,00%</t>
  </si>
  <si>
    <t>Multiplicador</t>
  </si>
  <si>
    <t>116,0%</t>
  </si>
  <si>
    <t>aum cod 06 dic</t>
  </si>
  <si>
    <t>#########</t>
  </si>
  <si>
    <t>#¡REF!</t>
  </si>
  <si>
    <t>Modificadores diálogo 2013</t>
  </si>
  <si>
    <t>Nuevo sueldo testigo (maestro, 0% antig)</t>
  </si>
  <si>
    <t>Aumento cargo testigo</t>
  </si>
  <si>
    <t>CARGOS</t>
  </si>
  <si>
    <t>Aumento1</t>
  </si>
  <si>
    <t>Aumento2</t>
  </si>
  <si>
    <t>Aumento3</t>
  </si>
  <si>
    <t>Aumento4</t>
  </si>
  <si>
    <t>Aumento5</t>
  </si>
  <si>
    <t>11996,77</t>
  </si>
  <si>
    <t>Aclaración importante:</t>
  </si>
  <si>
    <t>completar el cargo a la izquierda y buscar el resultado a la derecha</t>
  </si>
  <si>
    <t>CARGO</t>
  </si>
  <si>
    <t>PUNTOS basicos</t>
  </si>
  <si>
    <t>tarea DIFER.</t>
  </si>
  <si>
    <t>Prol JORN</t>
  </si>
  <si>
    <t>jorn Compl</t>
  </si>
  <si>
    <t>Combas2016</t>
  </si>
  <si>
    <t>Comp Dir 2016</t>
  </si>
  <si>
    <t>Adic Esc Nina</t>
  </si>
  <si>
    <t>NOMBRE del cargo</t>
  </si>
  <si>
    <t>Buscar en la hoja cargos si no saben el número del cargo y luego controlar por el nombre</t>
  </si>
  <si>
    <t>¿Sos directivo de escuela Nina?</t>
  </si>
  <si>
    <t>Si: 1; No: 0</t>
  </si>
  <si>
    <t>Años de antigüedad</t>
  </si>
  <si>
    <t>Sueldo Liquido</t>
  </si>
  <si>
    <t>Transporte: cant km semanales</t>
  </si>
  <si>
    <t>Puntos básicos</t>
  </si>
  <si>
    <t>Puntos de jornada completa</t>
  </si>
  <si>
    <t>CODIGO</t>
  </si>
  <si>
    <t>PORCENT</t>
  </si>
  <si>
    <t>CONCEPTO</t>
  </si>
  <si>
    <t>HABERES</t>
  </si>
  <si>
    <t>DESCUENTOS</t>
  </si>
  <si>
    <t>Asignación de la categoría</t>
  </si>
  <si>
    <t>Complemento de Básico</t>
  </si>
  <si>
    <t>03 o 08</t>
  </si>
  <si>
    <t>Complemento directivo</t>
  </si>
  <si>
    <t>Adicional Nina</t>
  </si>
  <si>
    <t>Adic. Art. 2 y 3 Dcrto. 5863/05</t>
  </si>
  <si>
    <t>Antigüedad</t>
  </si>
  <si>
    <t>Product. Dcrto. 5863/05</t>
  </si>
  <si>
    <t>Plus productividad docente</t>
  </si>
  <si>
    <t>Prolongación de Jornada</t>
  </si>
  <si>
    <t>Función diferencial docente</t>
  </si>
  <si>
    <t>Bonific Ubic Escuela (ZONA)</t>
  </si>
  <si>
    <t>Adicional para mínimo</t>
  </si>
  <si>
    <t>Cod 117</t>
  </si>
  <si>
    <t>Monto Remunerativo</t>
  </si>
  <si>
    <t>Compensación por traslado</t>
  </si>
  <si>
    <t>Varios</t>
  </si>
  <si>
    <t>Total Asignaciones Familiares</t>
  </si>
  <si>
    <t>Total nominal provincia</t>
  </si>
  <si>
    <t>Anticipo FONID</t>
  </si>
  <si>
    <t>FONID 2006</t>
  </si>
  <si>
    <t>Conectividad Nacional</t>
  </si>
  <si>
    <t>Total haberes</t>
  </si>
  <si>
    <t>Reajuste cod 188</t>
  </si>
  <si>
    <t>Ap jubilat</t>
  </si>
  <si>
    <t>Ob social</t>
  </si>
  <si>
    <t>Seg vida</t>
  </si>
  <si>
    <t>Aporte sindical AGMER</t>
  </si>
  <si>
    <t>Otro desc</t>
  </si>
  <si>
    <t>Descuentos</t>
  </si>
  <si>
    <t>Sueldo líquido</t>
  </si>
  <si>
    <t>Total remunerativos</t>
  </si>
  <si>
    <t>sin 188 y 14</t>
  </si>
  <si>
    <t>con 188 y 14</t>
  </si>
  <si>
    <t>Aumento del mes</t>
  </si>
  <si>
    <t>Porc resp a anterior</t>
  </si>
  <si>
    <t>Medio Aguinaldo</t>
  </si>
  <si>
    <t>código 100</t>
  </si>
  <si>
    <t>código 186 (No remun)</t>
  </si>
  <si>
    <t>Líquido</t>
  </si>
  <si>
    <t>Descuentos con aguinaldo</t>
  </si>
  <si>
    <t>Sueldo líquido incluyendo aguinaldo</t>
  </si>
  <si>
    <t>Aguinaldo de bolsillo</t>
  </si>
  <si>
    <t>HORAS DE NIVEL MEDIO</t>
  </si>
  <si>
    <t>Número de horas</t>
  </si>
  <si>
    <t>Años de Antigüedad</t>
  </si>
  <si>
    <t>Por los topes de algunos códigos</t>
  </si>
  <si>
    <t>Nº horas que cobran código 06</t>
  </si>
  <si>
    <t>Nº horas que cobran incentivo</t>
  </si>
  <si>
    <t>Adicional horas media (1: Si; 0: No)</t>
  </si>
  <si>
    <t>Trans: cant km semanales</t>
  </si>
  <si>
    <t>Horas cátedra</t>
  </si>
  <si>
    <t>Productiv Dcrto. 5863/05</t>
  </si>
  <si>
    <t>Adicional horas media</t>
  </si>
  <si>
    <t>NUEVO ADIC. HS. CAT.</t>
  </si>
  <si>
    <t>Sueldo Nominal Provincia</t>
  </si>
  <si>
    <t>Otros</t>
  </si>
  <si>
    <t>Haberes</t>
  </si>
  <si>
    <t>Ap jubilatorio</t>
  </si>
  <si>
    <t>Obra social</t>
  </si>
  <si>
    <t>HORAS DE NIVEL Superior</t>
  </si>
  <si>
    <t>Sueldo nominal provincia</t>
  </si>
  <si>
    <t>Autor</t>
  </si>
  <si>
    <t>Víctor Hugo Hutt</t>
  </si>
  <si>
    <t>AGMER Seccional Uruguay</t>
  </si>
  <si>
    <t>www.agmeruruguay.com.ar</t>
  </si>
  <si>
    <t>Facebook: agmeruruguay</t>
  </si>
  <si>
    <t>Volver al simulador</t>
  </si>
  <si>
    <t>Tarea</t>
  </si>
  <si>
    <t>Prol</t>
  </si>
  <si>
    <t>Jornada</t>
  </si>
  <si>
    <t>Adic</t>
  </si>
  <si>
    <t>NOMBRE</t>
  </si>
  <si>
    <t>PUNTOS</t>
  </si>
  <si>
    <t>puntos comp bas 2016</t>
  </si>
  <si>
    <t>adic dir 2016</t>
  </si>
  <si>
    <t>TOT 1 Y 2</t>
  </si>
  <si>
    <t>DIFER.</t>
  </si>
  <si>
    <t>JORN</t>
  </si>
  <si>
    <t>Compl</t>
  </si>
  <si>
    <t>Nina</t>
  </si>
  <si>
    <t>RECTOR INSTITUTO SUPERIOR</t>
  </si>
  <si>
    <t>SECRETARIO INSTITUTO SUPERIOR</t>
  </si>
  <si>
    <t>JEFE DE PRECEPTORES DE 2DA Y 3RA CATEGORIA</t>
  </si>
  <si>
    <t>RESP. AREA ASISTEMATICA Y SISTEMATICA</t>
  </si>
  <si>
    <t>REGENTE 1ERA. CAT. C.E.F.</t>
  </si>
  <si>
    <t>388,2</t>
  </si>
  <si>
    <t>SUPERVISOR D.E.M.Y.A.</t>
  </si>
  <si>
    <t>SECRETARIO DOCENTE D.E.M.Y.A.</t>
  </si>
  <si>
    <t>TECNICO PEDAGOGICO</t>
  </si>
  <si>
    <t>DIRECTOR 1ERA CATEGORIA</t>
  </si>
  <si>
    <t>135,87</t>
  </si>
  <si>
    <t>DIRECTOR 2DA CATEGORIA</t>
  </si>
  <si>
    <t>582,3</t>
  </si>
  <si>
    <t>REGENTE ESC. TECNICA 1ERA CATEGORIA</t>
  </si>
  <si>
    <t>452,9</t>
  </si>
  <si>
    <t>DIRECTOR 3ERA CATEGORIA</t>
  </si>
  <si>
    <t>VICEDIRECTOR 1ERA CATEGORIA</t>
  </si>
  <si>
    <t>517,6</t>
  </si>
  <si>
    <t>superv</t>
  </si>
  <si>
    <t>776,4</t>
  </si>
  <si>
    <t>232,92</t>
  </si>
  <si>
    <t>VICEDIRECTOR 2DA CATEGORIA</t>
  </si>
  <si>
    <t>direct 1</t>
  </si>
  <si>
    <t>194,1</t>
  </si>
  <si>
    <t>JEFE AGROPECUARIO 1ERA CATEGORIA</t>
  </si>
  <si>
    <t>direct 2</t>
  </si>
  <si>
    <t>174,69</t>
  </si>
  <si>
    <t>JEFE AGROPECUARIO 2DA CATEGORIA</t>
  </si>
  <si>
    <t>direct 3</t>
  </si>
  <si>
    <t>JEFE AGROPECUARIO 3ERA CATEGORIA</t>
  </si>
  <si>
    <t>direct 4</t>
  </si>
  <si>
    <t>JEFE SECCION ESC. AGROPECUARIA</t>
  </si>
  <si>
    <t>vicedir 1</t>
  </si>
  <si>
    <t>155,28</t>
  </si>
  <si>
    <t>REGENTE ESC. TECNICA 2DA CATEGORIA</t>
  </si>
  <si>
    <t>vicedir 2</t>
  </si>
  <si>
    <t>116,46</t>
  </si>
  <si>
    <t>MAESTRO ENS PRACT - JEFE SECCION</t>
  </si>
  <si>
    <t>sec 1</t>
  </si>
  <si>
    <t>MAESTRO ENS PRACT - 1RA 2DA 3RA</t>
  </si>
  <si>
    <t>sec 2</t>
  </si>
  <si>
    <t>JEFE INTERNADO 1ERA CATEGORIA</t>
  </si>
  <si>
    <t>sec 3</t>
  </si>
  <si>
    <t>JEFE INTERNADO 3ERA CATEGORIA</t>
  </si>
  <si>
    <t>SECRETARIO 1ERA CATEGORIA</t>
  </si>
  <si>
    <t>SECRETARIO 2DA CATEGORIA</t>
  </si>
  <si>
    <t>SECRETARIO 3ERA CATEGORIA</t>
  </si>
  <si>
    <t>MAESTRO TECNOLOGICO Y ESPECIALIDADES</t>
  </si>
  <si>
    <t>MAESTRO AYUD ENS PRACT 1RA 2DA 3RA</t>
  </si>
  <si>
    <t>PRECEPTOR AYUDANTE INTERNADO 1ERA CATEGORIA</t>
  </si>
  <si>
    <t>PRECEPTOR AYUDANTE INTERNADO 3ERA CATEGORIA</t>
  </si>
  <si>
    <t>PRECEPTOR</t>
  </si>
  <si>
    <t>BIBLIOTECARIO</t>
  </si>
  <si>
    <t>MAESTRO DE GRADO</t>
  </si>
  <si>
    <t>VICEDIRECTOR 1ERA. CAT. C.E.F.</t>
  </si>
  <si>
    <t>JEFE DE LABORATORIO</t>
  </si>
  <si>
    <t>JEFE DE ENS PRACTICA</t>
  </si>
  <si>
    <t>AYTE TEC DE TRAB PRACT/LABORATORIO</t>
  </si>
  <si>
    <t>SUBJEFE DE PRECEPT 1RA CAT</t>
  </si>
  <si>
    <t>RECTOR 3era Cat. Escuela Secundaria Jóvenes y Adultos</t>
  </si>
  <si>
    <t>Secretario 3era Cat. Escuela Secundaria Jóvenes y Adultos</t>
  </si>
  <si>
    <t>Supervisor Zonal Educación Secundaria Jóvenes y Adultos</t>
  </si>
  <si>
    <t>VICEDIRECTOR 3ERA CATEGORIA</t>
  </si>
  <si>
    <t>VICERECTOR PROYECTO 13</t>
  </si>
  <si>
    <t>ASESOR PEDAG PROYECTO 13</t>
  </si>
  <si>
    <t>AYUDANTE CLASES PRACTICAS (14 Hs)</t>
  </si>
  <si>
    <t>INSTRUCTOR COMPLEJO AGRARIO</t>
  </si>
  <si>
    <t>DIRECTOR DE 1° C.E.F.</t>
  </si>
  <si>
    <t>MAESTRO DE CICLO E.G.B.</t>
  </si>
  <si>
    <t>COORDINADOR DE ACCIONES NO FORMALES</t>
  </si>
  <si>
    <t>AUXILIAR DE ACCIONES NO FORMALES</t>
  </si>
  <si>
    <t>INSTRUCTOR ESC. AGROPECUARIAS</t>
  </si>
  <si>
    <t>JEFE TALLER ESC. TECNICA 3ERA CATEGORIA</t>
  </si>
  <si>
    <t>JEFE TALLER ESC. TECNICA 1ERA CATEGORIA</t>
  </si>
  <si>
    <t>JEFE TALLER ESC. TECNICA 2DA CATEGORIA</t>
  </si>
  <si>
    <t>PROSECRETARIO 1ERA CAT.</t>
  </si>
  <si>
    <t>PROSECRETARIO 2DA Y 3ERA CAT.</t>
  </si>
  <si>
    <t>JEFE DE PRECEPTORES 1ERA CAT.</t>
  </si>
  <si>
    <t>JEFE DE PRECEPTORES 2DA Y 3ERA CAT.</t>
  </si>
  <si>
    <t>SUBJEFE DE PRECEPTORES 1ERA CAT.</t>
  </si>
  <si>
    <t>JEFE DE PRECEPTORES J. C. AGRARIA</t>
  </si>
  <si>
    <t>JEFE GRAL. DE ENSENANZA PRACTICA 3RA CAT.</t>
  </si>
  <si>
    <t>JEFE DPTO. EDUCACION FISICA (transformado) 971 + 620</t>
  </si>
  <si>
    <t>DIRECTOR DE 1ERA CAT. CON PROLONG. DE JORN.</t>
  </si>
  <si>
    <t>DIRECTOR DE 2DA CAT. CON PROLONG. DE JORN.</t>
  </si>
  <si>
    <t>DIRECTOR DE 3ERA CAT. CON PROLONG. DE JORN.</t>
  </si>
  <si>
    <t>VICEDIRECTOR DE 1ERA CAT. CON PROLONG. DE JORN.</t>
  </si>
  <si>
    <t>VICEDIRECTOR DE 2DA CAT. CON PROLONG. DE JORN.</t>
  </si>
  <si>
    <t>DIRECTOR DE 1ERA A/C DE 2 TURNOS CON P. DE JORN</t>
  </si>
  <si>
    <t>DIRECTOR DE 2DA A/C DE 2 TURNOS CON P. DE JORN.</t>
  </si>
  <si>
    <t>DIRECTOR DE 3ERA A/C DE 2 TURNOS CON P. DE JORN.</t>
  </si>
  <si>
    <t>JEFE DE UNS Y PRODUCCIÓN 1ERA CAT.</t>
  </si>
  <si>
    <t>JEFE DE UNS Y PRODUCCIÓN 2DA CAT.</t>
  </si>
  <si>
    <t>JEFE DE UNS Y PRODUCCIÓN 3ERA CAT.</t>
  </si>
  <si>
    <t>JEFE SECCION ESC. AGROP. CON PROLONG. DE JORN.</t>
  </si>
  <si>
    <t>JEFE INTERN. 1ERA CAT. ESC. AGROP. CON P. DE JORN.</t>
  </si>
  <si>
    <t>JEFE INTERN. 2DA CAT. ESC. AGROP. CON P. DE JORN.</t>
  </si>
  <si>
    <t>JEFE INTERN. 3ERA CAT. ESC. AGROP. CON P. DE JORN.</t>
  </si>
  <si>
    <t>PRECEPTOR AYUDANTE INTERN. 1ERA CAT. CON P. DE JORN. (Pasó a 684)</t>
  </si>
  <si>
    <t>PRECEPTOR AYUDANTE INTERN. 2DA CAT. CON P. DE JORN. (Pasó a 684)</t>
  </si>
  <si>
    <t>PRECEPTOR AYUDANTE INTERNADO</t>
  </si>
  <si>
    <t>VICEDIRECTOR ESC. 3ERA CAT. CON PROLONG. DE JORN.</t>
  </si>
  <si>
    <t>DIRECTOR DE 1ERA CAT. A/C DE 3 TURNOS CON P. DE JORN.</t>
  </si>
  <si>
    <t>DIRECTOR DE 2DA CAT. A/C DE 3 TURNOS CON P. DE JORN.</t>
  </si>
  <si>
    <t>DIRECTOR DE 3ERA CAT. A/C DE 3 TURNOS CON P. DE JORN.</t>
  </si>
  <si>
    <t>PRECEPTOR AYUDANTE INTERN. ESC. TECNICA (Pasó a 684)</t>
  </si>
  <si>
    <t>JEFE SECTORIAL DE JORNADA COMPLETA AGRARIA</t>
  </si>
  <si>
    <t>JEFE INTERN. ESC. TECNICA 1ERA CAT. CON PROL. DE JORN.</t>
  </si>
  <si>
    <t>JEFE INTERN. ESC. TECNICA 2DA CAT. CON PROL. DE JORN.</t>
  </si>
  <si>
    <t>JEFE INTERN. ESC. TECNICA 3ERA CAT. CON PROL. DE JORN.</t>
  </si>
  <si>
    <t>AYUDANTE DE CATEDRA</t>
  </si>
  <si>
    <t>REGENTE DE 3ERA CAT.</t>
  </si>
  <si>
    <t>SUBREGENTE DE 1ERA CAT.</t>
  </si>
  <si>
    <t>JEFE GRAL. DE ENS. PRACTICA 1ERA CAT.</t>
  </si>
  <si>
    <t>JEFE GRAL. DE ENS. PRACTICA 2DA CAT.</t>
  </si>
  <si>
    <t>Secretario Unidad Educación Nivel Inicial 1era Cat.</t>
  </si>
  <si>
    <t>Secretario Unidad Educación Nivel Inicial 1era Cat. Con P. Jorn</t>
  </si>
  <si>
    <t>Secretario Unidad Educación Nivel Inicial 2da. Cat.</t>
  </si>
  <si>
    <t>Secretario Unidad Educación Nivel Inicial 2da. Cat. Con P. Jorn</t>
  </si>
  <si>
    <t>Secretario Unidad Educación Nivel Inicial 3era Cat.</t>
  </si>
  <si>
    <t>SUPERVISOR EDUCACIÓN ARTÍSTICA</t>
  </si>
  <si>
    <t>JEFE DEPARTAMENTO TECNICO</t>
  </si>
  <si>
    <t>SUPERVISOR ESCOLAR DE ZONA</t>
  </si>
  <si>
    <t>SUPERVISOR DE ENSENANZA ESPECIAL</t>
  </si>
  <si>
    <t>SUPERVISOR DE EDUCACION FISICA</t>
  </si>
  <si>
    <t>SUPERVISOR ESCOLAR EDUC. TECNOLÓGICA</t>
  </si>
  <si>
    <t>SUPERVISOR DE EDUCACION MUSICAL</t>
  </si>
  <si>
    <t>TECNICO DOCENTE</t>
  </si>
  <si>
    <t>SECRETARIO DOCENTE HOGAR ESCUELA</t>
  </si>
  <si>
    <t>DIRECTOR ESCUELA 1ERA CATEGORIA</t>
  </si>
  <si>
    <t>DIRECTOR DEL S.A.I.E.</t>
  </si>
  <si>
    <t>DIRECTOR NIVEL INICIAL 1ERA CATEGORIA</t>
  </si>
  <si>
    <t>DIRECTOR ESCUELA 2DA CATEGORIA</t>
  </si>
  <si>
    <t>DIRECTOR NIVEL INICIAL 2DA CATEGORIA</t>
  </si>
  <si>
    <t>DIRECTOR ESCUELA EDUCACION ESPECIAL</t>
  </si>
  <si>
    <t>DIRECTOR ESCUELA 3ERA CATEGORIA</t>
  </si>
  <si>
    <t>VICEDIRECTOR ESCUELA 1ERA CATEGORIA</t>
  </si>
  <si>
    <t>DIRECTOR ESCUELA CARCEL</t>
  </si>
  <si>
    <t>DIRECTOR ESCUELA 4TA CATEGORIA</t>
  </si>
  <si>
    <t>TECNICO DIFERENCIADO</t>
  </si>
  <si>
    <t>VICEDIRECTOR ESCUELA 2DA CATEGORIA</t>
  </si>
  <si>
    <t>DIRECTOR ESCUELA MATERNAL</t>
  </si>
  <si>
    <t>DIRECTOR ESCUELA ADULTOS 1ERA CATEGORIA</t>
  </si>
  <si>
    <t>DIRECTOR ESCUELA CORAL</t>
  </si>
  <si>
    <t>DIRECTOR ESCUELA ADULTOS 2DA CATEGORIA</t>
  </si>
  <si>
    <t>MAESTRO DOMICILIARIO</t>
  </si>
  <si>
    <t>VISITADOR</t>
  </si>
  <si>
    <t>ASISTENTE SOCIAL</t>
  </si>
  <si>
    <t>MAESTRO ESCUELA DIFERENCIADA</t>
  </si>
  <si>
    <t>DIRECTOR PARQUE ESCOLAR "E. BERDUC"</t>
  </si>
  <si>
    <t>MAESTRO ESPECIAL EDUCACION MUSICAL DIFERENCIADO</t>
  </si>
  <si>
    <t>MAESTRO JARDIN DE INFANTES</t>
  </si>
  <si>
    <t>MAESTRO DE GRADO DIFERENCIADO</t>
  </si>
  <si>
    <t>MAESTRO CARCELARIO</t>
  </si>
  <si>
    <t>SECRETARIO ESCUELA 2DA CATEGORIA</t>
  </si>
  <si>
    <t>MAESTRO ESPECIAL ACTIVIDAD PRACTICAS DIFERENCIADA</t>
  </si>
  <si>
    <t>MAESTRO ESCUELA MATERNAL</t>
  </si>
  <si>
    <t>SECRETARIO ESCUELA 1ERA CATEGORIA</t>
  </si>
  <si>
    <t>MAESTRO ESPECIAL ESCUELA CORAL</t>
  </si>
  <si>
    <t>MAESTRO AUXILIAR ESCUELA DIFERENCIADA</t>
  </si>
  <si>
    <t>MAESTRO EDUCACION FISICA</t>
  </si>
  <si>
    <t>SECRETARIO ESCUELA ADULTOS</t>
  </si>
  <si>
    <t>Secretario Esc. Nivel Inicial 1ra CAT</t>
  </si>
  <si>
    <t>TECNICO DOCENTE ENSENANZA ESPECIAL</t>
  </si>
  <si>
    <t>DIRECTOR ESCUELA PARA CIEGOS</t>
  </si>
  <si>
    <t>MAESTRO ESCUELA NOCTURNA</t>
  </si>
  <si>
    <t>MAESTRO ESPECIAL ACTIVIDADES PRACTICAS</t>
  </si>
  <si>
    <t>SECRETARIO PARQUE ESCOLAR</t>
  </si>
  <si>
    <t>MAESTRO ESPECIAL ACTIVIDADES PRACTICAS ADULTO</t>
  </si>
  <si>
    <t>MAESTRO ESPECIAL TECNICO AGROPECUARIO</t>
  </si>
  <si>
    <t>MAESTRO HOSPITALARIO</t>
  </si>
  <si>
    <t>BIBLIOTECARIO PEDAGOGICO</t>
  </si>
  <si>
    <t>COORDINADOR CENTRO LABORAL</t>
  </si>
  <si>
    <t>COORDINADOR DEPARTAMENTAL</t>
  </si>
  <si>
    <t>MAESTRO ESPECIAL EDUCACION MUSICAL</t>
  </si>
  <si>
    <t>FONOAUDIOLOGO</t>
  </si>
  <si>
    <t>PSICOLOGO</t>
  </si>
  <si>
    <t>DIRECTOR ESCUELA PARA SORDOS</t>
  </si>
  <si>
    <t>VICEDIRECTOR ESCUELA ENSENANZA ESPECIAL</t>
  </si>
  <si>
    <t>MAESTRO ESPECIAL EDUCACION FISICA DIFERENCIADO</t>
  </si>
  <si>
    <t>SECRETARIO DOCENTE</t>
  </si>
  <si>
    <t>SUPERVISOR ENSENANZA ADULTOS</t>
  </si>
  <si>
    <t>MAESTRO AUXILIAR ESCUELA DIFERENCIADA JORNADA COMPLETA</t>
  </si>
  <si>
    <t>MAESTRO ESPECIAL ACT. PRACT. DIFERENCIADA J. COMPLETA</t>
  </si>
  <si>
    <t>DIRECTOR ESCUELA ESPECIAL JORNADA COMPLETA</t>
  </si>
  <si>
    <t>VICEDIRECTOR ESCUELA ESPECIAL JORNADA COMPLETA</t>
  </si>
  <si>
    <t>SECRETARIO ESCUELA ESPECIAL</t>
  </si>
  <si>
    <t>MAESTRO ESPECIAL DE TALLER</t>
  </si>
  <si>
    <t>MAESTRO ESPECIAL DE TALLER ANEXO ALBERGUE</t>
  </si>
  <si>
    <t>DIRECTOR NIVEL INICIAL 3ERA CATEGORIA</t>
  </si>
  <si>
    <t>CAPACITADORES CENTROS LABORALES mecl</t>
  </si>
  <si>
    <t>JEFE DPTO PEDAGOGICO Y SUPERVISION</t>
  </si>
  <si>
    <t>COORD. DPTAL. DE CENTROS P/ADULTOS</t>
  </si>
  <si>
    <t>MAESTRO ESPECIAL DEPARTAMENTO APLICACIÓN</t>
  </si>
  <si>
    <t>Vicedirector DPTO. Aplicación 2da CAT</t>
  </si>
  <si>
    <t>Director Jardín de Infantes</t>
  </si>
  <si>
    <t>Vicedirector Nivel Inicial 1ra Categoría</t>
  </si>
  <si>
    <t>ASESOR PSICOLOGIA EDUCATIVA</t>
  </si>
  <si>
    <t>MAESTRO NIVELADOR</t>
  </si>
  <si>
    <t>SUPERVISOR NIVEL INICIAL</t>
  </si>
  <si>
    <t>SUPERVISOR BIBLIOTECAS ESCOLARES</t>
  </si>
  <si>
    <t>SUPERVISOR TECNICO</t>
  </si>
  <si>
    <t>DIRECTOR DPTO APLICACION</t>
  </si>
  <si>
    <t>VICEDIRECTOR DPTO APLICACION DE 2DA CATEGORIA</t>
  </si>
  <si>
    <t>SECRETARIO DPTO APLICACION</t>
  </si>
  <si>
    <t>MAESTRO DPTO APLICACION</t>
  </si>
  <si>
    <t>MAESTRO MATERIAS ESPECIALES DPTO APLICACION</t>
  </si>
  <si>
    <t>DIRECTOR NIVEL INICIAL 1ERA CON PROLONGACIÓN</t>
  </si>
  <si>
    <t>DIRECTOR NIVEL INICIAL 2DA CON PROLONGACIÓN</t>
  </si>
  <si>
    <t>VICEDIRECTOR NIVEL INICIAL 1ERA CON PROLONGACIÓN</t>
  </si>
  <si>
    <t>MAESTRO JARDÍN MATERNAL JORNADA EXTENDIDA</t>
  </si>
  <si>
    <t>Director Esc Nocturna de J. y Ad. En contexto de Priv de libertad</t>
  </si>
  <si>
    <t>DIRECTOR 1ERA CATEGORIA JORNADA COMPLETA</t>
  </si>
  <si>
    <t>DIRECTOR 2DA CATEGORIA JORNADA COMPLETA</t>
  </si>
  <si>
    <t>DIRECTOR 3ERA CATEGORIA JORNADA COMPLETA</t>
  </si>
  <si>
    <t>DIRECTOR 4TA CATEGORIA JORNADA COMPLETA</t>
  </si>
  <si>
    <t>VICEDIRECTOR 2DA CATEGORIA JORNADA COMPLETA</t>
  </si>
  <si>
    <t>MAESTRO DE GRADO JORNADA COMPLETA</t>
  </si>
  <si>
    <t>MAESTRO ESPECIAL DE ACT. PRACTICAS JORN. COMPLETA</t>
  </si>
  <si>
    <t>MAESTRO JARDIN DE INFANTES JORNADA COMPLETA</t>
  </si>
  <si>
    <t>VICEDIRECTOR NIVEL INICIAL 2DA CATEGORIA</t>
  </si>
  <si>
    <t>DIRECTOR 2DA ANEXO ALBERGUE</t>
  </si>
  <si>
    <t>MAESTRO DE GRADO ANEXO ALBERGUE</t>
  </si>
  <si>
    <t>MAESTRO ESP. ACTIV. PRACTICAS ANEXO ALBERGUE</t>
  </si>
  <si>
    <t>DIRECTOR 3ERA CATEGORIA ANEXO ALBERGUE</t>
  </si>
  <si>
    <t>DIRECTOR 4TA CATEGORIA ANEXO ALBERGUE</t>
  </si>
  <si>
    <t>CELADOR ANEXO ALBERGUE</t>
  </si>
  <si>
    <t>VICEDIRECTOR 1ERA CATEGORIA JORNADA COMPLETA</t>
  </si>
  <si>
    <t>SECRETARIO 1ERA CATEGORIA JORNADA COMPLETA</t>
  </si>
  <si>
    <t>SECRETARIO 2DA CATEGORIA JORNADA COMPLETA</t>
  </si>
  <si>
    <t>SECRETARIO 3ERA CATEGORIA JORNADA COMPLETA</t>
  </si>
  <si>
    <t>Director Dpto. Aplicación 1ra Cat.</t>
  </si>
  <si>
    <t>TECNICO DEL PROGRAMA 35 HS</t>
  </si>
  <si>
    <t>Director Dpto. Aplicación 2DA Cat.</t>
  </si>
  <si>
    <t>RESPONSABLE ZONAL O SECTORIAL</t>
  </si>
  <si>
    <t>EDUCADOR DE ADULTOS</t>
  </si>
  <si>
    <t>Vicedirector Dpto Aplicación 1ra CAT</t>
  </si>
  <si>
    <t>MAESTRO ESPECIAL EDUCACION MUSICAL JORNADA COMPLETA</t>
  </si>
  <si>
    <t>MAESTRO ESPECIAL EDUCACION FISICA JORN. COMPLETA</t>
  </si>
  <si>
    <t>MAESTRO ESPECIAL JORNADA SIMPLE SIN PROLONGACION DE JORNADA</t>
  </si>
  <si>
    <t>MAESTRO ESPECIAL EDUCACION MUSICAL ANEXO ALBERGUE</t>
  </si>
  <si>
    <t>MAESTRO ESPECIAL EDUCACION FISICA ANEXO ALBERGUE</t>
  </si>
  <si>
    <t>MAESTRO ESPECIAL DE TALLER JORNADA COMPLETA</t>
  </si>
  <si>
    <t>MAESTRO ESPECIAL TECNICO AGROPECUARIO JORN. COMPLETA</t>
  </si>
  <si>
    <t>Secretario 3ra. CAT Educ. Jóvenes y Adultos</t>
  </si>
  <si>
    <t>DIRECTOR PERSONAL UNICO</t>
  </si>
  <si>
    <t>SECRETARIO ESCUELA 3ERA CATEGORIA</t>
  </si>
  <si>
    <t>COORDINADOR CENTRO COMUNITARIO</t>
  </si>
  <si>
    <t>MAESTRO GRADO EGB3 (PRIMARIA)</t>
  </si>
  <si>
    <t>JEFE DE DEPARTAMENTO TÉCNICO Y SUPERVISIÓN</t>
  </si>
  <si>
    <t>SUPERVISOR DE ENSEÑANZA ESPECIAL</t>
  </si>
  <si>
    <t>SUPERVISOR DE ENSEÑANZA PRIMARIA</t>
  </si>
  <si>
    <t>SUPERVISOR DE ENSEÑANZA INICIAL</t>
  </si>
  <si>
    <t>SUPERVISOR DE ENSEÑANZA NIVEL SUPERIOR</t>
  </si>
  <si>
    <t>SUPERVISOR DE ENSEÑANZA SECUNDARIA</t>
  </si>
  <si>
    <t>SECRETARIO ACADÉMICO</t>
  </si>
  <si>
    <t>JEFE DPTO PEDAGOGICO Y DE SUPERVISION</t>
  </si>
  <si>
    <t>SUPERVISOR INSTITUTO SUPERIOR</t>
  </si>
  <si>
    <t>SUPERVISOR ENSE¥ANZA ESPECIAL</t>
  </si>
  <si>
    <t>SUPERVISOR ENSE¥ANZA PRIMARIA</t>
  </si>
  <si>
    <t>VICERECTOR INSTITUTO SUPERIOR</t>
  </si>
  <si>
    <t>SECRETARIO TECNICO DPTO. PEDAGOGICO</t>
  </si>
  <si>
    <t>DIRECTOR PRIMERA CATEGORIA</t>
  </si>
  <si>
    <t>DIRECTOR SEGUNDA CATEGORIA</t>
  </si>
  <si>
    <t>DIRECTOR TERCERA CATEGORIA</t>
  </si>
  <si>
    <t>DIRECTOR CUARTA CATEGORIA</t>
  </si>
  <si>
    <t>DIRECTOR ESC. NIVEL INICIAL 2DA CATEGORIA</t>
  </si>
  <si>
    <t>VICEDIRECTOR ESC. PRIMARIA 1ERA CATEGORIA</t>
  </si>
  <si>
    <t>VICEDIRECTOR ESC. PRIMARIA 2DA CATEGORIA</t>
  </si>
  <si>
    <t>VICEDIRECTOR ESC. EDUCACION ESPECIAL</t>
  </si>
  <si>
    <t>SECRETARIO ESC. 2DA CATEGORIA</t>
  </si>
  <si>
    <t>MAESTRO DE GRADO ESC. PRIMARIA</t>
  </si>
  <si>
    <t>MAESTRO DE JARDIN DE INFANTES</t>
  </si>
  <si>
    <t>MAESTRO DE GRUPO ESC. DIFERENCIADA</t>
  </si>
  <si>
    <t>MAESTRO DE GRADO ADULTOS</t>
  </si>
  <si>
    <t>MAESTRO DE EDUCACION FISICA</t>
  </si>
  <si>
    <t>MAESTRO MATERIAS ESPECIALES</t>
  </si>
  <si>
    <t>MAESTRO MATERIAS ESPECIALES ESC. DIFERENCIADA</t>
  </si>
  <si>
    <t>PRECEPTOR ESC. DIFERENCIADA</t>
  </si>
  <si>
    <t>DIRECTOR ESCUELA CAPACITACION TECNICA 4TA CATEGORIA</t>
  </si>
  <si>
    <t>MAESTRO ESC. CAPACITACION TECNICA</t>
  </si>
  <si>
    <t>BIBLIOTECARIO INSTITUTO SUPERIOR</t>
  </si>
  <si>
    <t>PRECEPTOR INSTITUTO SUPERIOR</t>
  </si>
  <si>
    <t>BEDEL</t>
  </si>
  <si>
    <t>PRECEPTOR INSTITUTO SUPERIOR - PRIVADA</t>
  </si>
  <si>
    <t>DIRECTOR ESC. CAPACITACION TECNICA 3ERA CATEGORIA</t>
  </si>
  <si>
    <t>DIRECTOR ESC. CAPACITACION TECNICA 1ERA CATEGORIA</t>
  </si>
  <si>
    <t>DIRECTOR ESC. CAPACITACION TECNICA 2DA CATEGORIA</t>
  </si>
  <si>
    <t>SECRETARIO ESC. PRIMARIA 1ERA CATEGORIA</t>
  </si>
  <si>
    <t>DIRECTOR ESC. 2DA CATEGORIA JORNADA COMPLETA</t>
  </si>
  <si>
    <t>MAESTRO DE EDUCACION FISICA JORNADA COMPLETA</t>
  </si>
  <si>
    <t>SECRETARIA DE ESC DE 2DA CATEGORÍA JORN COMP</t>
  </si>
  <si>
    <t>PSICOPEDAGOGO</t>
  </si>
  <si>
    <t>MAESTRO DE ACTIVIDADES PRACTICAS JORNADA COMPLETA</t>
  </si>
  <si>
    <t>MAESTRO DE EDUCACION MUSICAL JORNADA COMPLETA</t>
  </si>
  <si>
    <t>VICEDIRECTOR ESC. 2DA CATEGORIA JORNADA COMPLETA</t>
  </si>
  <si>
    <t>DIRECTOR ESC. 3ERA CAT. JORNADA COMPLETA</t>
  </si>
  <si>
    <t>VICEDIRECTOR ESC. CAP TECNICA 1ERA CATEGORIA</t>
  </si>
  <si>
    <t>SECRETARIO DOCENTE PRIVADA</t>
  </si>
  <si>
    <t>DIRECTOR ESC NIVIEL INICIAL 1RA CATEGORÍA</t>
  </si>
  <si>
    <t>VICEDIRECTOR ESC N INICIAL 2DA CATEG</t>
  </si>
  <si>
    <t>SECRETARIO DOCENTE ESCUELA ENFERMERIA</t>
  </si>
  <si>
    <t>SECRETARIO ADMINISTRATIVO ESCUELA ENFERMERIA</t>
  </si>
  <si>
    <t>INSTRUCTOR INSTITUTO SUPERIOR</t>
  </si>
  <si>
    <t>SECRETARIO DOCENTE SUPERIOR</t>
  </si>
  <si>
    <t>SECRETARIO ACADEMICO</t>
  </si>
  <si>
    <t>JEFE LABORATORIO COMPUTACION</t>
  </si>
  <si>
    <t>MAESTRO ESCUELA ESPECIAL</t>
  </si>
  <si>
    <t>PRECEPTOR GUIA INTERNADO INSTITUTO SUPERIOR</t>
  </si>
  <si>
    <t>DIRECTOR ESC. NIVEL INICIAL 3era CATEGORIA</t>
  </si>
  <si>
    <t>DIRECTOR ESC. NIVEL INICIAL 4ta CATEGORIA</t>
  </si>
  <si>
    <t>KINESIOLOGO</t>
  </si>
  <si>
    <t>MAESTRO ORIENTADOR</t>
  </si>
  <si>
    <t>MAESTRO DE EDUCACION MUSICAL</t>
  </si>
  <si>
    <t>MAESTRO DE ACTIVIDADES PRACTICAS</t>
  </si>
  <si>
    <t>DIRECTOR DPTO APLICACIÓN L. V.</t>
  </si>
  <si>
    <t>SECRETARIO ESC NIV INICIAL 1RA CATEG</t>
  </si>
  <si>
    <t>SECRETARIO ESC NIV INICIAL 2DA CATEG</t>
  </si>
  <si>
    <t>SECRETARIO ESC NIV INICIAL 3RA CATEG</t>
  </si>
  <si>
    <t>SUBDIRECTOR JARDIN DE INFANTES</t>
  </si>
  <si>
    <t>MAESTRO DE GRADO L.V.</t>
  </si>
  <si>
    <t>MAESTRO ESP DPTO APLICACION L.V.</t>
  </si>
  <si>
    <t>ANALISTA TECNICO</t>
  </si>
  <si>
    <t>MAESTRO ESPECIAL JARDIN DEINFANTES</t>
  </si>
  <si>
    <t>DIRECTOR/RECTOR 1§ - 2 TURNOS</t>
  </si>
  <si>
    <t>DIRECTOR/RECTOR 1§ - 3 TURNOS</t>
  </si>
  <si>
    <t>VICEDIRECTOR 1RA Y 2DA</t>
  </si>
  <si>
    <t>REGENTE</t>
  </si>
  <si>
    <t>VICERECTOR ESC DE 3RA CATEGORÍA</t>
  </si>
  <si>
    <t>RECTOR CURSO PROF.</t>
  </si>
  <si>
    <t>SECRETARIO NIVEL SUPERIOR</t>
  </si>
  <si>
    <t>PROSECRETARIO NIVEL SUPERIOR</t>
  </si>
  <si>
    <t>JEFE TRABAJOS PRACTICOS</t>
  </si>
  <si>
    <t>DIRECTOR</t>
  </si>
  <si>
    <t>SECRETARIO ESC DE 3RA CATEGORÍA</t>
  </si>
  <si>
    <t>Aumento6</t>
  </si>
  <si>
    <t>huttvictor@gmail.com</t>
  </si>
  <si>
    <t>Aumento acumulado</t>
  </si>
  <si>
    <t>Porcentaje acumulado</t>
  </si>
  <si>
    <t>adic dir 2022</t>
  </si>
  <si>
    <t>comp dir 2022</t>
  </si>
  <si>
    <t>Porcentaje acum</t>
  </si>
  <si>
    <t>Cant horas Cod 38</t>
  </si>
  <si>
    <t>poné los años</t>
  </si>
  <si>
    <t>Ext Horaria</t>
  </si>
  <si>
    <t>Puntos Extensión</t>
  </si>
  <si>
    <t>Extensión de jornada</t>
  </si>
  <si>
    <t>Nuevo</t>
  </si>
  <si>
    <t>www.victorhutt.com.ar</t>
  </si>
  <si>
    <t>No tenemos los datos precisos de un decreto</t>
  </si>
  <si>
    <t>Puede haber errores</t>
  </si>
  <si>
    <t>Sirve como herramienta orientativa</t>
  </si>
  <si>
    <t>Aumento7</t>
  </si>
  <si>
    <t>Aumento8</t>
  </si>
  <si>
    <t>4000xx</t>
  </si>
  <si>
    <t>Aumento provincial</t>
  </si>
  <si>
    <t>Porcentaje provincial</t>
  </si>
  <si>
    <t>indiceene23</t>
  </si>
  <si>
    <t>Indiceproljorene23</t>
  </si>
  <si>
    <t>Bonif ext conectividad nacional</t>
  </si>
  <si>
    <r>
      <t xml:space="preserve">Simulador Salario docente Entre Ríos </t>
    </r>
    <r>
      <rPr>
        <b/>
        <u/>
        <sz val="16"/>
        <color theme="4" tint="-0.499984740745262"/>
        <rFont val="Arial"/>
        <family val="2"/>
      </rPr>
      <t>(2023)</t>
    </r>
  </si>
  <si>
    <t>Acuerdo Salarial 24 de Febrero de 2023</t>
  </si>
  <si>
    <t>Aum 19%</t>
  </si>
  <si>
    <t>Aum 13%</t>
  </si>
  <si>
    <t>Aumento Provincial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</si>
</sst>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"/>
    <numFmt numFmtId="166" formatCode="0.0000"/>
    <numFmt numFmtId="167" formatCode="0.00000"/>
  </numFmts>
  <fonts count="152">
    <font>
      <sz val="10"/>
      <color rgb="FF000000"/>
      <name val="Arial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sz val="10"/>
      <color rgb="FF008000"/>
      <name val="Arial"/>
      <family val="2"/>
    </font>
    <font>
      <sz val="11"/>
      <color theme="1"/>
      <name val="Arial"/>
      <family val="2"/>
    </font>
    <font>
      <b/>
      <sz val="10"/>
      <color rgb="FFFFFFFF"/>
      <name val="Arial"/>
      <family val="2"/>
    </font>
    <font>
      <sz val="10"/>
      <color rgb="FFFF0000"/>
      <name val="Arial"/>
      <family val="2"/>
    </font>
    <font>
      <b/>
      <sz val="12"/>
      <color rgb="FFFFFFFF"/>
      <name val="Arial"/>
      <family val="2"/>
    </font>
    <font>
      <b/>
      <u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sz val="18"/>
      <color rgb="FFFF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FFFFFF"/>
      <name val="Arial"/>
      <family val="2"/>
    </font>
    <font>
      <b/>
      <sz val="18"/>
      <color rgb="FFFFFFFF"/>
      <name val="Arial"/>
      <family val="2"/>
    </font>
    <font>
      <b/>
      <sz val="16"/>
      <color rgb="FFFFFFFF"/>
      <name val="Arial"/>
      <family val="2"/>
    </font>
    <font>
      <b/>
      <sz val="14"/>
      <color rgb="FFFFFFFF"/>
      <name val="Arial"/>
      <family val="2"/>
    </font>
    <font>
      <sz val="12"/>
      <color rgb="FFFFFFFF"/>
      <name val="Arial"/>
      <family val="2"/>
    </font>
    <font>
      <sz val="12"/>
      <color theme="1"/>
      <name val="Arial"/>
      <family val="2"/>
    </font>
    <font>
      <sz val="10"/>
      <color rgb="FFFFFF00"/>
      <name val="Arial"/>
      <family val="2"/>
    </font>
    <font>
      <b/>
      <u/>
      <sz val="16"/>
      <color rgb="FF000080"/>
      <name val="Arial"/>
      <family val="2"/>
    </font>
    <font>
      <b/>
      <sz val="16"/>
      <color rgb="FF0000FF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16365C"/>
      <name val="Arial"/>
      <family val="2"/>
    </font>
    <font>
      <sz val="10"/>
      <name val="Arial"/>
      <family val="2"/>
    </font>
    <font>
      <b/>
      <u/>
      <sz val="20"/>
      <color rgb="FF000080"/>
      <name val="&quot;Monotype Corsiva&quot;"/>
    </font>
    <font>
      <sz val="10"/>
      <color rgb="FF808080"/>
      <name val="Arial"/>
      <family val="2"/>
    </font>
    <font>
      <b/>
      <sz val="14"/>
      <color rgb="FF000000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u/>
      <sz val="12"/>
      <color rgb="FF000080"/>
      <name val="Arial"/>
      <family val="2"/>
    </font>
    <font>
      <sz val="10"/>
      <color rgb="FF000000"/>
      <name val="Arial"/>
      <family val="2"/>
    </font>
    <font>
      <b/>
      <u/>
      <sz val="12"/>
      <color rgb="FFFFFFFF"/>
      <name val="&quot;Monotype Corsiva&quot;"/>
    </font>
    <font>
      <b/>
      <u/>
      <sz val="12"/>
      <color rgb="FFFFFFFF"/>
      <name val="Arial"/>
      <family val="2"/>
    </font>
    <font>
      <b/>
      <sz val="10"/>
      <color rgb="FFFF0000"/>
      <name val="Arial"/>
      <family val="2"/>
    </font>
    <font>
      <b/>
      <u/>
      <sz val="11"/>
      <color rgb="FF0000FF"/>
      <name val="Arial"/>
      <family val="2"/>
    </font>
    <font>
      <b/>
      <u/>
      <sz val="11"/>
      <color rgb="FF0000FF"/>
      <name val="Arial"/>
      <family val="2"/>
    </font>
    <font>
      <b/>
      <u/>
      <sz val="12"/>
      <color rgb="FF000080"/>
      <name val="Arial"/>
      <family val="2"/>
    </font>
    <font>
      <b/>
      <sz val="11"/>
      <color rgb="FF0F243E"/>
      <name val="Arial"/>
      <family val="2"/>
    </font>
    <font>
      <b/>
      <sz val="12"/>
      <color rgb="FF0F243E"/>
      <name val="Arial"/>
      <family val="2"/>
    </font>
    <font>
      <b/>
      <sz val="14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FF3300"/>
      <name val="Arial"/>
      <family val="2"/>
    </font>
    <font>
      <b/>
      <sz val="12"/>
      <color rgb="FF00B050"/>
      <name val="Arial"/>
      <family val="2"/>
    </font>
    <font>
      <b/>
      <sz val="12"/>
      <color rgb="FF00FF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10"/>
      <color rgb="FF92D05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92D050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"/>
      <family val="2"/>
    </font>
    <font>
      <sz val="12"/>
      <color rgb="FF000000"/>
      <name val="Arial"/>
      <family val="2"/>
    </font>
    <font>
      <sz val="10"/>
      <color rgb="FF538DD5"/>
      <name val="Arial"/>
      <family val="2"/>
    </font>
    <font>
      <b/>
      <u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rgb="FFFF0000"/>
      <name val="Arial"/>
      <family val="2"/>
    </font>
    <font>
      <b/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8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color rgb="FF800000"/>
      <name val="Arial"/>
      <family val="2"/>
    </font>
    <font>
      <b/>
      <sz val="11"/>
      <color rgb="FF800000"/>
      <name val="Arial"/>
      <family val="2"/>
    </font>
    <font>
      <b/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800000"/>
      <name val="Arial"/>
      <family val="2"/>
    </font>
    <font>
      <b/>
      <u/>
      <sz val="12"/>
      <color rgb="FF800000"/>
      <name val="Arial"/>
      <family val="2"/>
    </font>
    <font>
      <sz val="20"/>
      <color theme="1"/>
      <name val="Arial"/>
      <family val="2"/>
    </font>
    <font>
      <b/>
      <sz val="20"/>
      <color rgb="FF00FF00"/>
      <name val="Arial"/>
      <family val="2"/>
    </font>
    <font>
      <b/>
      <sz val="10"/>
      <color rgb="FF339966"/>
      <name val="Arial"/>
      <family val="2"/>
    </font>
    <font>
      <b/>
      <u/>
      <sz val="14"/>
      <color rgb="FF000080"/>
      <name val="&quot;Monotype Corsiva&quot;"/>
    </font>
    <font>
      <b/>
      <sz val="14"/>
      <color rgb="FF0000FF"/>
      <name val="Arial"/>
      <family val="2"/>
    </font>
    <font>
      <b/>
      <sz val="16"/>
      <color rgb="FF0000CC"/>
      <name val="Arial"/>
      <family val="2"/>
    </font>
    <font>
      <b/>
      <u/>
      <sz val="20"/>
      <color rgb="FF000080"/>
      <name val="&quot;Monotype Corsiva&quot;"/>
    </font>
    <font>
      <sz val="14"/>
      <color theme="1"/>
      <name val="Arial"/>
      <family val="2"/>
    </font>
    <font>
      <b/>
      <sz val="10"/>
      <color rgb="FFFF3300"/>
      <name val="Arial"/>
      <family val="2"/>
    </font>
    <font>
      <b/>
      <u/>
      <sz val="18"/>
      <color theme="1"/>
      <name val="Arial"/>
      <family val="2"/>
    </font>
    <font>
      <b/>
      <sz val="12"/>
      <color rgb="FF990000"/>
      <name val="Arial"/>
      <family val="2"/>
    </font>
    <font>
      <b/>
      <u/>
      <sz val="16"/>
      <color rgb="FF800000"/>
      <name val="Arial"/>
      <family val="2"/>
    </font>
    <font>
      <b/>
      <u/>
      <sz val="12"/>
      <color rgb="FF000080"/>
      <name val="&quot;Monotype Corsiva&quot;"/>
    </font>
    <font>
      <b/>
      <sz val="10"/>
      <color rgb="FF16365C"/>
      <name val="Arial"/>
      <family val="2"/>
    </font>
    <font>
      <b/>
      <u/>
      <sz val="12"/>
      <color theme="1"/>
      <name val="Arial"/>
      <family val="2"/>
    </font>
    <font>
      <b/>
      <sz val="12"/>
      <color rgb="FF800080"/>
      <name val="Arial"/>
      <family val="2"/>
    </font>
    <font>
      <u/>
      <sz val="12"/>
      <color rgb="FF0000FF"/>
      <name val="Arial"/>
      <family val="2"/>
    </font>
    <font>
      <u/>
      <sz val="12"/>
      <color rgb="FF0000FF"/>
      <name val="Arial"/>
      <family val="2"/>
    </font>
    <font>
      <b/>
      <u/>
      <sz val="14"/>
      <color theme="1"/>
      <name val="Arial"/>
      <family val="2"/>
    </font>
    <font>
      <u/>
      <sz val="10"/>
      <color rgb="FF0000FF"/>
      <name val="Arial"/>
      <family val="2"/>
    </font>
    <font>
      <sz val="8"/>
      <color rgb="FF000000"/>
      <name val="Arial"/>
      <family val="2"/>
    </font>
    <font>
      <sz val="9"/>
      <color rgb="FF538DD5"/>
      <name val="Arial"/>
      <family val="2"/>
    </font>
    <font>
      <b/>
      <sz val="9"/>
      <color rgb="FFFF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u/>
      <sz val="14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538DD5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7" tint="0.39997558519241921"/>
      <name val="Arial"/>
      <family val="2"/>
    </font>
    <font>
      <sz val="14"/>
      <color theme="1"/>
      <name val="Arial"/>
      <family val="2"/>
    </font>
    <font>
      <b/>
      <sz val="14"/>
      <color rgb="FF00FF00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800000"/>
      <name val="Arial"/>
      <family val="2"/>
    </font>
    <font>
      <b/>
      <u/>
      <sz val="12"/>
      <color theme="1"/>
      <name val="Arial"/>
      <family val="2"/>
    </font>
    <font>
      <b/>
      <sz val="14"/>
      <color rgb="FF800000"/>
      <name val="Arial"/>
      <family val="2"/>
    </font>
    <font>
      <b/>
      <u/>
      <sz val="10"/>
      <color rgb="FF000080"/>
      <name val="&quot;Monotype Corsiva&quot;"/>
    </font>
    <font>
      <u/>
      <sz val="14"/>
      <color theme="1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Inconsolata"/>
    </font>
    <font>
      <sz val="10"/>
      <color theme="4" tint="-0.499984740745262"/>
      <name val="Arial"/>
      <family val="2"/>
    </font>
    <font>
      <b/>
      <sz val="14"/>
      <color rgb="FF0000CC"/>
      <name val="Arial"/>
      <family val="2"/>
    </font>
    <font>
      <sz val="12"/>
      <color rgb="FFFF0000"/>
      <name val="Arial"/>
      <family val="2"/>
    </font>
    <font>
      <b/>
      <sz val="11"/>
      <color rgb="FF000000"/>
      <name val="Arial"/>
      <family val="2"/>
    </font>
    <font>
      <b/>
      <sz val="14"/>
      <color rgb="FFFF3300"/>
      <name val="Arial"/>
      <family val="2"/>
    </font>
    <font>
      <b/>
      <u/>
      <sz val="16"/>
      <color rgb="FF000080"/>
      <name val="&quot;Monotype Corsiva&quot;"/>
    </font>
    <font>
      <b/>
      <sz val="16"/>
      <color theme="5" tint="-0.249977111117893"/>
      <name val="Arial"/>
      <family val="2"/>
    </font>
    <font>
      <b/>
      <u/>
      <sz val="20"/>
      <color theme="4" tint="-0.499984740745262"/>
      <name val="Arial"/>
      <family val="2"/>
    </font>
    <font>
      <b/>
      <u/>
      <sz val="22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b/>
      <sz val="10"/>
      <color rgb="FF073763"/>
      <name val="Arial"/>
      <family val="2"/>
    </font>
    <font>
      <b/>
      <sz val="10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b/>
      <u/>
      <sz val="14"/>
      <color rgb="FF800000"/>
      <name val="Arial"/>
      <family val="2"/>
    </font>
    <font>
      <b/>
      <u/>
      <sz val="16"/>
      <color theme="4" tint="-0.499984740745262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b/>
      <sz val="20"/>
      <color rgb="FFFF0000"/>
      <name val="Arial"/>
      <family val="2"/>
    </font>
    <font>
      <sz val="11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  <fill>
      <patternFill patternType="solid">
        <fgColor rgb="FFCCFFFF"/>
        <bgColor rgb="FFCCFFFF"/>
      </patternFill>
    </fill>
    <fill>
      <patternFill patternType="solid">
        <fgColor rgb="FF99CC00"/>
        <bgColor rgb="FF99CC00"/>
      </patternFill>
    </fill>
    <fill>
      <patternFill patternType="solid">
        <fgColor rgb="FFC4D79B"/>
        <bgColor rgb="FFC4D79B"/>
      </patternFill>
    </fill>
    <fill>
      <patternFill patternType="solid">
        <fgColor rgb="FFE6B8B7"/>
        <bgColor rgb="FFE6B8B7"/>
      </patternFill>
    </fill>
    <fill>
      <patternFill patternType="solid">
        <fgColor rgb="FF92D050"/>
        <bgColor rgb="FF92D050"/>
      </patternFill>
    </fill>
    <fill>
      <patternFill patternType="solid">
        <fgColor rgb="FFFF6600"/>
        <bgColor rgb="FFFF6600"/>
      </patternFill>
    </fill>
    <fill>
      <patternFill patternType="solid">
        <fgColor rgb="FF99FF99"/>
        <bgColor rgb="FF99FF99"/>
      </patternFill>
    </fill>
    <fill>
      <patternFill patternType="solid">
        <fgColor rgb="FF66FF99"/>
        <bgColor rgb="FF66FF99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CCFFCC"/>
        <bgColor rgb="FFCCFFCC"/>
      </patternFill>
    </fill>
    <fill>
      <patternFill patternType="solid">
        <fgColor rgb="FF06EAEA"/>
        <bgColor rgb="FF06EAEA"/>
      </patternFill>
    </fill>
    <fill>
      <patternFill patternType="solid">
        <fgColor rgb="FF95B3D7"/>
        <bgColor rgb="FF95B3D7"/>
      </patternFill>
    </fill>
    <fill>
      <patternFill patternType="solid">
        <fgColor rgb="FF8DB4E2"/>
        <bgColor rgb="FF8DB4E2"/>
      </patternFill>
    </fill>
    <fill>
      <patternFill patternType="solid">
        <fgColor rgb="FFC4BD97"/>
        <bgColor rgb="FFC4BD97"/>
      </patternFill>
    </fill>
    <fill>
      <patternFill patternType="solid">
        <fgColor rgb="FF66FF66"/>
        <bgColor rgb="FF66FF66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rgb="FFD9D9D9"/>
      </patternFill>
    </fill>
    <fill>
      <patternFill patternType="solid">
        <fgColor rgb="FF00FF00"/>
        <bgColor rgb="FF66FF99"/>
      </patternFill>
    </fill>
    <fill>
      <patternFill patternType="solid">
        <fgColor rgb="FF00FF00"/>
        <bgColor rgb="FF00FFFF"/>
      </patternFill>
    </fill>
    <fill>
      <patternFill patternType="solid">
        <fgColor rgb="FF00FF0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FF"/>
        <bgColor rgb="FFD9D9D9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rgb="FF00FF00"/>
      </patternFill>
    </fill>
    <fill>
      <patternFill patternType="solid">
        <fgColor rgb="FFCCFFFF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FF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FF00"/>
      </top>
      <bottom/>
      <diagonal/>
    </border>
    <border>
      <left style="thin">
        <color rgb="FF00FF00"/>
      </left>
      <right/>
      <top style="thin">
        <color rgb="FF00FF00"/>
      </top>
      <bottom/>
      <diagonal/>
    </border>
    <border>
      <left/>
      <right/>
      <top style="thin">
        <color rgb="FF00FF00"/>
      </top>
      <bottom/>
      <diagonal/>
    </border>
    <border>
      <left style="thin">
        <color rgb="FF00FF00"/>
      </left>
      <right/>
      <top/>
      <bottom/>
      <diagonal/>
    </border>
    <border>
      <left/>
      <right style="thin">
        <color rgb="FF00FF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0FF00"/>
      </left>
      <right style="double">
        <color rgb="FF00FF00"/>
      </right>
      <top style="double">
        <color rgb="FF00FF00"/>
      </top>
      <bottom/>
      <diagonal/>
    </border>
    <border>
      <left style="double">
        <color rgb="FF00FF00"/>
      </left>
      <right style="double">
        <color rgb="FF00FF00"/>
      </right>
      <top/>
      <bottom style="double">
        <color rgb="FF00FF00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/>
      <top style="thin">
        <color rgb="FF666666"/>
      </top>
      <bottom style="thin">
        <color rgb="FF666666"/>
      </bottom>
      <diagonal/>
    </border>
    <border>
      <left style="medium">
        <color rgb="FF1F497D"/>
      </left>
      <right style="thin">
        <color rgb="FF000000"/>
      </right>
      <top style="medium">
        <color rgb="FF1F497D"/>
      </top>
      <bottom style="thin">
        <color rgb="FF000000"/>
      </bottom>
      <diagonal/>
    </border>
    <border>
      <left/>
      <right style="medium">
        <color rgb="FF1F497D"/>
      </right>
      <top style="medium">
        <color rgb="FF1F497D"/>
      </top>
      <bottom style="thin">
        <color rgb="FF000000"/>
      </bottom>
      <diagonal/>
    </border>
    <border>
      <left style="medium">
        <color rgb="FF1F497D"/>
      </left>
      <right style="thin">
        <color rgb="FF000000"/>
      </right>
      <top/>
      <bottom style="medium">
        <color rgb="FF1F497D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  <border>
      <left style="medium">
        <color rgb="FFE06666"/>
      </left>
      <right style="thin">
        <color rgb="FF000000"/>
      </right>
      <top style="medium">
        <color rgb="FFE06666"/>
      </top>
      <bottom style="thin">
        <color rgb="FF000000"/>
      </bottom>
      <diagonal/>
    </border>
    <border>
      <left/>
      <right style="medium">
        <color rgb="FFE06666"/>
      </right>
      <top style="medium">
        <color rgb="FFE06666"/>
      </top>
      <bottom style="thin">
        <color rgb="FF000000"/>
      </bottom>
      <diagonal/>
    </border>
    <border>
      <left style="medium">
        <color rgb="FFE06666"/>
      </left>
      <right style="thin">
        <color rgb="FF000000"/>
      </right>
      <top/>
      <bottom style="medium">
        <color rgb="FFE06666"/>
      </bottom>
      <diagonal/>
    </border>
    <border>
      <left/>
      <right style="medium">
        <color rgb="FFE06666"/>
      </right>
      <top/>
      <bottom style="medium">
        <color rgb="FFE06666"/>
      </bottom>
      <diagonal/>
    </border>
    <border>
      <left style="medium">
        <color rgb="FF6AA84F"/>
      </left>
      <right style="thin">
        <color rgb="FF000000"/>
      </right>
      <top style="medium">
        <color rgb="FF6AA84F"/>
      </top>
      <bottom style="thin">
        <color rgb="FF000000"/>
      </bottom>
      <diagonal/>
    </border>
    <border>
      <left/>
      <right style="medium">
        <color rgb="FF6AA84F"/>
      </right>
      <top style="medium">
        <color rgb="FF6AA84F"/>
      </top>
      <bottom style="thin">
        <color rgb="FF000000"/>
      </bottom>
      <diagonal/>
    </border>
    <border>
      <left style="medium">
        <color rgb="FF6AA84F"/>
      </left>
      <right style="thin">
        <color rgb="FF000000"/>
      </right>
      <top/>
      <bottom style="medium">
        <color rgb="FF6AA84F"/>
      </bottom>
      <diagonal/>
    </border>
    <border>
      <left/>
      <right style="medium">
        <color rgb="FF6AA84F"/>
      </right>
      <top/>
      <bottom style="medium">
        <color rgb="FF6AA84F"/>
      </bottom>
      <diagonal/>
    </border>
    <border>
      <left style="thick">
        <color rgb="FF0000CC"/>
      </left>
      <right style="thin">
        <color rgb="FF000000"/>
      </right>
      <top style="thick">
        <color rgb="FF0000CC"/>
      </top>
      <bottom style="thin">
        <color rgb="FF000000"/>
      </bottom>
      <diagonal/>
    </border>
    <border>
      <left/>
      <right style="thick">
        <color rgb="FF0000CC"/>
      </right>
      <top style="thick">
        <color rgb="FF0000CC"/>
      </top>
      <bottom style="thin">
        <color rgb="FF000000"/>
      </bottom>
      <diagonal/>
    </border>
    <border>
      <left style="thick">
        <color rgb="FF0000CC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CC"/>
      </right>
      <top/>
      <bottom style="thin">
        <color rgb="FF000000"/>
      </bottom>
      <diagonal/>
    </border>
    <border>
      <left style="thick">
        <color rgb="FF0000CC"/>
      </left>
      <right style="thin">
        <color rgb="FF000000"/>
      </right>
      <top/>
      <bottom style="thick">
        <color rgb="FF0000CC"/>
      </bottom>
      <diagonal/>
    </border>
    <border>
      <left/>
      <right style="thick">
        <color rgb="FF0000CC"/>
      </right>
      <top/>
      <bottom style="thick">
        <color rgb="FF0000CC"/>
      </bottom>
      <diagonal/>
    </border>
    <border>
      <left style="thin">
        <color rgb="FF00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00"/>
      </left>
      <right/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 style="thin">
        <color rgb="FFFF0000"/>
      </left>
      <right style="thin">
        <color rgb="FF000000"/>
      </right>
      <top style="thin">
        <color rgb="FFFF0000"/>
      </top>
      <bottom/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n">
        <color rgb="FF666666"/>
      </left>
      <right/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000000"/>
      </left>
      <right/>
      <top style="thin">
        <color rgb="FF666666"/>
      </top>
      <bottom/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thick">
        <color rgb="FF0000CC"/>
      </left>
      <right/>
      <top/>
      <bottom/>
      <diagonal/>
    </border>
    <border>
      <left style="thin">
        <color rgb="FF000000"/>
      </left>
      <right style="thick">
        <color rgb="FF0000CC"/>
      </right>
      <top/>
      <bottom/>
      <diagonal/>
    </border>
    <border>
      <left style="thick">
        <color rgb="FF0000CC"/>
      </left>
      <right/>
      <top style="thin">
        <color rgb="FF000000"/>
      </top>
      <bottom/>
      <diagonal/>
    </border>
    <border>
      <left style="thin">
        <color rgb="FF000000"/>
      </left>
      <right style="thick">
        <color rgb="FF0000CC"/>
      </right>
      <top style="thin">
        <color rgb="FF000000"/>
      </top>
      <bottom/>
      <diagonal/>
    </border>
    <border>
      <left style="thick">
        <color rgb="FF0000CC"/>
      </left>
      <right/>
      <top style="thin">
        <color rgb="FF000000"/>
      </top>
      <bottom style="thick">
        <color rgb="FF0000CC"/>
      </bottom>
      <diagonal/>
    </border>
    <border>
      <left style="thin">
        <color rgb="FF000000"/>
      </left>
      <right style="thick">
        <color rgb="FF0000CC"/>
      </right>
      <top style="thin">
        <color rgb="FF000000"/>
      </top>
      <bottom style="thick">
        <color rgb="FF0000CC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rgb="FF00FF00"/>
      </right>
      <top style="double">
        <color rgb="FF00FF00"/>
      </top>
      <bottom/>
      <diagonal/>
    </border>
    <border>
      <left style="thick">
        <color theme="5" tint="-0.24994659260841701"/>
      </left>
      <right/>
      <top style="thick">
        <color theme="5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 style="thin">
        <color rgb="FF000000"/>
      </left>
      <right style="thick">
        <color theme="5" tint="-0.24994659260841701"/>
      </right>
      <top style="thick">
        <color theme="5" tint="-0.24994659260841701"/>
      </top>
      <bottom style="thin">
        <color rgb="FF000000"/>
      </bottom>
      <diagonal/>
    </border>
    <border>
      <left style="thick">
        <color theme="5" tint="-0.24994659260841701"/>
      </left>
      <right/>
      <top style="thin">
        <color rgb="FF000000"/>
      </top>
      <bottom style="thin">
        <color rgb="FF000000"/>
      </bottom>
      <diagonal/>
    </border>
    <border>
      <left style="thin">
        <color rgb="FFFF0000"/>
      </left>
      <right style="thick">
        <color theme="5" tint="-0.24994659260841701"/>
      </right>
      <top/>
      <bottom style="thin">
        <color rgb="FFFF0000"/>
      </bottom>
      <diagonal/>
    </border>
    <border>
      <left style="thick">
        <color theme="5" tint="-0.24994659260841701"/>
      </left>
      <right/>
      <top/>
      <bottom/>
      <diagonal/>
    </border>
    <border>
      <left/>
      <right style="thick">
        <color theme="5" tint="-0.24994659260841701"/>
      </right>
      <top/>
      <bottom/>
      <diagonal/>
    </border>
    <border>
      <left style="thick">
        <color theme="5" tint="-0.24994659260841701"/>
      </left>
      <right/>
      <top/>
      <bottom style="thin">
        <color rgb="FF000000"/>
      </bottom>
      <diagonal/>
    </border>
    <border>
      <left style="thick">
        <color theme="5" tint="-0.24994659260841701"/>
      </left>
      <right/>
      <top/>
      <bottom style="thick">
        <color theme="5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/>
      <right style="thick">
        <color theme="5" tint="-0.24994659260841701"/>
      </right>
      <top/>
      <bottom style="thick">
        <color theme="5" tint="-0.24994659260841701"/>
      </bottom>
      <diagonal/>
    </border>
    <border>
      <left/>
      <right style="thin">
        <color rgb="FF000000"/>
      </right>
      <top style="medium">
        <color rgb="FF1F497D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1F497D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 style="thin">
        <color rgb="FF000000"/>
      </right>
      <top style="medium">
        <color rgb="FFE06666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E06666"/>
      </bottom>
      <diagonal/>
    </border>
    <border>
      <left/>
      <right style="thin">
        <color rgb="FF000000"/>
      </right>
      <top style="medium">
        <color rgb="FF6AA84F"/>
      </top>
      <bottom style="thin">
        <color rgb="FF000000"/>
      </bottom>
      <diagonal/>
    </border>
    <border>
      <left style="thin">
        <color rgb="FFFF0000"/>
      </left>
      <right/>
      <top style="thin">
        <color rgb="FFFF0000"/>
      </top>
      <bottom style="thin">
        <color rgb="FF000000"/>
      </bottom>
      <diagonal/>
    </border>
    <border>
      <left/>
      <right style="double">
        <color rgb="FF00FF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00FF00"/>
      </left>
      <right style="double">
        <color rgb="FF00FF00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theme="5" tint="-0.499984740745262"/>
      </right>
      <top/>
      <bottom/>
      <diagonal/>
    </border>
    <border>
      <left/>
      <right style="thick">
        <color theme="5" tint="-0.499984740745262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4" fillId="0" borderId="0" applyNumberFormat="0" applyFill="0" applyBorder="0" applyAlignment="0" applyProtection="0"/>
    <xf numFmtId="9" fontId="39" fillId="0" borderId="0" applyFont="0" applyFill="0" applyBorder="0" applyAlignment="0" applyProtection="0"/>
  </cellStyleXfs>
  <cellXfs count="793">
    <xf numFmtId="0" fontId="0" fillId="0" borderId="0" xfId="0" applyFont="1" applyAlignment="1"/>
    <xf numFmtId="0" fontId="7" fillId="0" borderId="0" xfId="0" applyFont="1" applyAlignment="1"/>
    <xf numFmtId="0" fontId="1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/>
    <xf numFmtId="0" fontId="7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7" xfId="0" applyFont="1" applyBorder="1" applyAlignment="1"/>
    <xf numFmtId="0" fontId="7" fillId="0" borderId="2" xfId="0" applyFont="1" applyBorder="1" applyAlignment="1"/>
    <xf numFmtId="0" fontId="7" fillId="0" borderId="2" xfId="0" applyFont="1" applyBorder="1" applyAlignment="1">
      <alignment horizontal="right"/>
    </xf>
    <xf numFmtId="0" fontId="1" fillId="0" borderId="2" xfId="0" applyFont="1" applyBorder="1" applyAlignment="1"/>
    <xf numFmtId="0" fontId="1" fillId="0" borderId="0" xfId="0" applyFont="1" applyAlignment="1"/>
    <xf numFmtId="0" fontId="11" fillId="0" borderId="0" xfId="0" applyFont="1" applyAlignment="1"/>
    <xf numFmtId="0" fontId="100" fillId="0" borderId="0" xfId="0" applyFont="1" applyAlignment="1">
      <alignment horizontal="left"/>
    </xf>
    <xf numFmtId="0" fontId="18" fillId="4" borderId="8" xfId="0" applyFont="1" applyFill="1" applyBorder="1" applyAlignment="1"/>
    <xf numFmtId="0" fontId="42" fillId="0" borderId="17" xfId="0" applyFont="1" applyBorder="1" applyAlignment="1"/>
    <xf numFmtId="0" fontId="1" fillId="0" borderId="17" xfId="0" applyFont="1" applyBorder="1" applyAlignment="1"/>
    <xf numFmtId="0" fontId="1" fillId="0" borderId="6" xfId="0" applyFont="1" applyBorder="1" applyAlignment="1"/>
    <xf numFmtId="0" fontId="30" fillId="0" borderId="0" xfId="0" applyFont="1" applyAlignment="1"/>
    <xf numFmtId="0" fontId="101" fillId="0" borderId="0" xfId="0" applyFont="1" applyAlignment="1"/>
    <xf numFmtId="0" fontId="42" fillId="0" borderId="0" xfId="0" applyFont="1" applyAlignment="1"/>
    <xf numFmtId="0" fontId="1" fillId="0" borderId="5" xfId="0" applyFont="1" applyBorder="1" applyAlignment="1"/>
    <xf numFmtId="0" fontId="7" fillId="0" borderId="8" xfId="0" applyFont="1" applyBorder="1" applyAlignment="1">
      <alignment horizontal="right"/>
    </xf>
    <xf numFmtId="0" fontId="53" fillId="0" borderId="4" xfId="0" applyFont="1" applyBorder="1" applyAlignment="1"/>
    <xf numFmtId="0" fontId="53" fillId="0" borderId="2" xfId="0" applyFont="1" applyBorder="1" applyAlignment="1"/>
    <xf numFmtId="0" fontId="55" fillId="0" borderId="2" xfId="0" applyFont="1" applyBorder="1" applyAlignment="1"/>
    <xf numFmtId="0" fontId="7" fillId="4" borderId="5" xfId="0" applyFont="1" applyFill="1" applyBorder="1" applyAlignment="1">
      <alignment horizontal="right"/>
    </xf>
    <xf numFmtId="0" fontId="53" fillId="4" borderId="2" xfId="0" applyFont="1" applyFill="1" applyBorder="1" applyAlignment="1"/>
    <xf numFmtId="0" fontId="7" fillId="4" borderId="2" xfId="0" applyFont="1" applyFill="1" applyBorder="1" applyAlignment="1">
      <alignment horizontal="right"/>
    </xf>
    <xf numFmtId="0" fontId="7" fillId="4" borderId="2" xfId="0" applyFont="1" applyFill="1" applyBorder="1" applyAlignment="1"/>
    <xf numFmtId="0" fontId="7" fillId="4" borderId="0" xfId="0" applyFont="1" applyFill="1" applyAlignment="1"/>
    <xf numFmtId="0" fontId="102" fillId="4" borderId="2" xfId="0" applyFont="1" applyFill="1" applyBorder="1" applyAlignment="1"/>
    <xf numFmtId="0" fontId="42" fillId="0" borderId="5" xfId="0" applyFont="1" applyBorder="1" applyAlignment="1">
      <alignment horizontal="right"/>
    </xf>
    <xf numFmtId="0" fontId="103" fillId="0" borderId="2" xfId="0" applyFont="1" applyBorder="1" applyAlignment="1"/>
    <xf numFmtId="0" fontId="102" fillId="0" borderId="2" xfId="0" applyFont="1" applyBorder="1" applyAlignment="1"/>
    <xf numFmtId="0" fontId="63" fillId="0" borderId="5" xfId="0" applyFont="1" applyBorder="1" applyAlignment="1">
      <alignment horizontal="right"/>
    </xf>
    <xf numFmtId="0" fontId="63" fillId="0" borderId="2" xfId="0" applyFont="1" applyBorder="1" applyAlignment="1"/>
    <xf numFmtId="0" fontId="63" fillId="0" borderId="0" xfId="0" applyFont="1" applyAlignment="1"/>
    <xf numFmtId="0" fontId="7" fillId="0" borderId="4" xfId="0" applyFont="1" applyBorder="1" applyAlignment="1"/>
    <xf numFmtId="0" fontId="30" fillId="0" borderId="2" xfId="0" applyFont="1" applyBorder="1" applyAlignment="1"/>
    <xf numFmtId="17" fontId="115" fillId="2" borderId="0" xfId="0" applyNumberFormat="1" applyFont="1" applyFill="1" applyAlignment="1">
      <alignment horizontal="center"/>
    </xf>
    <xf numFmtId="0" fontId="0" fillId="0" borderId="0" xfId="0" applyFont="1" applyAlignment="1"/>
    <xf numFmtId="2" fontId="105" fillId="5" borderId="61" xfId="0" applyNumberFormat="1" applyFont="1" applyFill="1" applyBorder="1"/>
    <xf numFmtId="2" fontId="105" fillId="2" borderId="61" xfId="0" applyNumberFormat="1" applyFont="1" applyFill="1" applyBorder="1"/>
    <xf numFmtId="2" fontId="106" fillId="2" borderId="61" xfId="0" applyNumberFormat="1" applyFont="1" applyFill="1" applyBorder="1"/>
    <xf numFmtId="2" fontId="106" fillId="5" borderId="61" xfId="0" applyNumberFormat="1" applyFont="1" applyFill="1" applyBorder="1"/>
    <xf numFmtId="2" fontId="71" fillId="0" borderId="71" xfId="0" applyNumberFormat="1" applyFont="1" applyBorder="1" applyAlignment="1">
      <alignment horizontal="left"/>
    </xf>
    <xf numFmtId="1" fontId="108" fillId="5" borderId="61" xfId="0" applyNumberFormat="1" applyFont="1" applyFill="1" applyBorder="1" applyAlignment="1">
      <alignment horizontal="right"/>
    </xf>
    <xf numFmtId="0" fontId="128" fillId="0" borderId="0" xfId="0" applyFont="1" applyAlignment="1"/>
    <xf numFmtId="1" fontId="108" fillId="2" borderId="61" xfId="0" applyNumberFormat="1" applyFont="1" applyFill="1" applyBorder="1" applyAlignment="1">
      <alignment horizontal="right"/>
    </xf>
    <xf numFmtId="2" fontId="108" fillId="0" borderId="0" xfId="0" applyNumberFormat="1" applyFont="1" applyAlignment="1" applyProtection="1">
      <protection locked="0"/>
    </xf>
    <xf numFmtId="2" fontId="108" fillId="2" borderId="0" xfId="0" applyNumberFormat="1" applyFont="1" applyFill="1" applyAlignment="1"/>
    <xf numFmtId="2" fontId="109" fillId="2" borderId="0" xfId="0" applyNumberFormat="1" applyFont="1" applyFill="1" applyAlignment="1">
      <alignment horizontal="center"/>
    </xf>
    <xf numFmtId="2" fontId="108" fillId="0" borderId="0" xfId="0" applyNumberFormat="1" applyFont="1" applyAlignment="1"/>
    <xf numFmtId="2" fontId="116" fillId="0" borderId="0" xfId="0" applyNumberFormat="1" applyFont="1" applyAlignment="1"/>
    <xf numFmtId="2" fontId="122" fillId="0" borderId="0" xfId="0" applyNumberFormat="1" applyFont="1" applyAlignment="1"/>
    <xf numFmtId="2" fontId="8" fillId="0" borderId="1" xfId="0" applyNumberFormat="1" applyFont="1" applyBorder="1" applyAlignment="1">
      <alignment horizontal="left"/>
    </xf>
    <xf numFmtId="2" fontId="7" fillId="3" borderId="1" xfId="0" applyNumberFormat="1" applyFont="1" applyFill="1" applyBorder="1" applyAlignment="1">
      <alignment horizontal="left"/>
    </xf>
    <xf numFmtId="2" fontId="7" fillId="3" borderId="2" xfId="0" applyNumberFormat="1" applyFont="1" applyFill="1" applyBorder="1" applyAlignment="1">
      <alignment horizontal="left"/>
    </xf>
    <xf numFmtId="2" fontId="7" fillId="3" borderId="0" xfId="0" applyNumberFormat="1" applyFont="1" applyFill="1" applyAlignment="1">
      <alignment horizontal="left"/>
    </xf>
    <xf numFmtId="2" fontId="7" fillId="0" borderId="0" xfId="0" applyNumberFormat="1" applyFont="1" applyAlignment="1"/>
    <xf numFmtId="2" fontId="0" fillId="0" borderId="0" xfId="0" applyNumberFormat="1" applyFont="1" applyAlignment="1"/>
    <xf numFmtId="2" fontId="9" fillId="0" borderId="0" xfId="0" applyNumberFormat="1" applyFont="1" applyAlignment="1"/>
    <xf numFmtId="2" fontId="10" fillId="6" borderId="0" xfId="0" applyNumberFormat="1" applyFont="1" applyFill="1" applyAlignment="1"/>
    <xf numFmtId="2" fontId="11" fillId="6" borderId="0" xfId="0" applyNumberFormat="1" applyFont="1" applyFill="1" applyAlignment="1"/>
    <xf numFmtId="2" fontId="7" fillId="6" borderId="0" xfId="0" applyNumberFormat="1" applyFont="1" applyFill="1" applyAlignment="1"/>
    <xf numFmtId="2" fontId="13" fillId="0" borderId="0" xfId="0" applyNumberFormat="1" applyFont="1" applyAlignment="1"/>
    <xf numFmtId="2" fontId="0" fillId="0" borderId="0" xfId="0" applyNumberFormat="1" applyFont="1" applyAlignment="1"/>
    <xf numFmtId="2" fontId="14" fillId="0" borderId="0" xfId="0" applyNumberFormat="1" applyFont="1" applyAlignment="1"/>
    <xf numFmtId="2" fontId="1" fillId="0" borderId="0" xfId="0" applyNumberFormat="1" applyFont="1" applyAlignment="1"/>
    <xf numFmtId="2" fontId="16" fillId="0" borderId="0" xfId="0" applyNumberFormat="1" applyFont="1" applyAlignment="1"/>
    <xf numFmtId="2" fontId="1" fillId="0" borderId="0" xfId="0" applyNumberFormat="1" applyFont="1" applyAlignment="1" applyProtection="1">
      <protection locked="0"/>
    </xf>
    <xf numFmtId="2" fontId="2" fillId="0" borderId="0" xfId="0" applyNumberFormat="1" applyFont="1" applyAlignment="1"/>
    <xf numFmtId="2" fontId="1" fillId="7" borderId="3" xfId="0" applyNumberFormat="1" applyFont="1" applyFill="1" applyBorder="1" applyAlignment="1">
      <alignment horizontal="left"/>
    </xf>
    <xf numFmtId="2" fontId="1" fillId="7" borderId="4" xfId="0" applyNumberFormat="1" applyFont="1" applyFill="1" applyBorder="1" applyAlignment="1">
      <alignment horizontal="left"/>
    </xf>
    <xf numFmtId="2" fontId="14" fillId="0" borderId="0" xfId="0" applyNumberFormat="1" applyFont="1" applyAlignment="1">
      <alignment horizontal="right"/>
    </xf>
    <xf numFmtId="2" fontId="1" fillId="7" borderId="5" xfId="0" applyNumberFormat="1" applyFont="1" applyFill="1" applyBorder="1" applyAlignment="1">
      <alignment horizontal="center"/>
    </xf>
    <xf numFmtId="2" fontId="1" fillId="7" borderId="6" xfId="0" applyNumberFormat="1" applyFont="1" applyFill="1" applyBorder="1" applyAlignment="1">
      <alignment horizontal="center"/>
    </xf>
    <xf numFmtId="2" fontId="14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/>
    <xf numFmtId="2" fontId="7" fillId="0" borderId="4" xfId="0" applyNumberFormat="1" applyFont="1" applyBorder="1" applyAlignment="1"/>
    <xf numFmtId="2" fontId="17" fillId="0" borderId="4" xfId="0" applyNumberFormat="1" applyFont="1" applyBorder="1" applyAlignment="1"/>
    <xf numFmtId="2" fontId="9" fillId="0" borderId="4" xfId="0" applyNumberFormat="1" applyFont="1" applyBorder="1" applyAlignment="1"/>
    <xf numFmtId="2" fontId="14" fillId="0" borderId="0" xfId="0" applyNumberFormat="1" applyFont="1" applyAlignment="1">
      <alignment horizontal="center"/>
    </xf>
    <xf numFmtId="2" fontId="1" fillId="8" borderId="5" xfId="0" applyNumberFormat="1" applyFont="1" applyFill="1" applyBorder="1" applyAlignment="1">
      <alignment horizontal="right"/>
    </xf>
    <xf numFmtId="2" fontId="1" fillId="8" borderId="4" xfId="0" applyNumberFormat="1" applyFont="1" applyFill="1" applyBorder="1" applyAlignment="1">
      <alignment horizontal="right"/>
    </xf>
    <xf numFmtId="2" fontId="18" fillId="9" borderId="3" xfId="0" applyNumberFormat="1" applyFont="1" applyFill="1" applyBorder="1" applyAlignment="1">
      <alignment horizontal="right"/>
    </xf>
    <xf numFmtId="2" fontId="1" fillId="8" borderId="2" xfId="0" applyNumberFormat="1" applyFont="1" applyFill="1" applyBorder="1" applyAlignment="1">
      <alignment horizontal="right"/>
    </xf>
    <xf numFmtId="2" fontId="18" fillId="9" borderId="10" xfId="0" applyNumberFormat="1" applyFont="1" applyFill="1" applyBorder="1" applyAlignment="1">
      <alignment horizontal="right"/>
    </xf>
    <xf numFmtId="2" fontId="18" fillId="3" borderId="10" xfId="0" applyNumberFormat="1" applyFont="1" applyFill="1" applyBorder="1" applyAlignment="1">
      <alignment horizontal="right"/>
    </xf>
    <xf numFmtId="2" fontId="1" fillId="8" borderId="0" xfId="0" applyNumberFormat="1" applyFont="1" applyFill="1" applyAlignment="1"/>
    <xf numFmtId="2" fontId="18" fillId="3" borderId="0" xfId="0" applyNumberFormat="1" applyFont="1" applyFill="1" applyAlignment="1"/>
    <xf numFmtId="2" fontId="5" fillId="0" borderId="0" xfId="0" applyNumberFormat="1" applyFont="1" applyAlignment="1">
      <alignment horizontal="center"/>
    </xf>
    <xf numFmtId="2" fontId="19" fillId="0" borderId="0" xfId="0" applyNumberFormat="1" applyFont="1" applyAlignment="1"/>
    <xf numFmtId="2" fontId="7" fillId="1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11" borderId="0" xfId="0" applyNumberFormat="1" applyFont="1" applyFill="1" applyAlignment="1">
      <alignment horizontal="right"/>
    </xf>
    <xf numFmtId="2" fontId="18" fillId="0" borderId="0" xfId="0" applyNumberFormat="1" applyFont="1" applyAlignment="1"/>
    <xf numFmtId="2" fontId="20" fillId="3" borderId="11" xfId="0" applyNumberFormat="1" applyFont="1" applyFill="1" applyBorder="1" applyAlignment="1"/>
    <xf numFmtId="2" fontId="20" fillId="3" borderId="12" xfId="0" applyNumberFormat="1" applyFont="1" applyFill="1" applyBorder="1" applyAlignment="1"/>
    <xf numFmtId="2" fontId="10" fillId="3" borderId="12" xfId="0" applyNumberFormat="1" applyFont="1" applyFill="1" applyBorder="1" applyAlignment="1"/>
    <xf numFmtId="2" fontId="21" fillId="3" borderId="13" xfId="0" applyNumberFormat="1" applyFont="1" applyFill="1" applyBorder="1" applyAlignment="1"/>
    <xf numFmtId="2" fontId="20" fillId="0" borderId="0" xfId="0" applyNumberFormat="1" applyFont="1" applyAlignment="1"/>
    <xf numFmtId="2" fontId="20" fillId="3" borderId="14" xfId="0" applyNumberFormat="1" applyFont="1" applyFill="1" applyBorder="1" applyAlignment="1"/>
    <xf numFmtId="2" fontId="22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center"/>
    </xf>
    <xf numFmtId="2" fontId="12" fillId="3" borderId="15" xfId="0" applyNumberFormat="1" applyFont="1" applyFill="1" applyBorder="1" applyAlignment="1"/>
    <xf numFmtId="2" fontId="23" fillId="0" borderId="0" xfId="0" applyNumberFormat="1" applyFont="1" applyAlignment="1"/>
    <xf numFmtId="2" fontId="12" fillId="3" borderId="0" xfId="0" applyNumberFormat="1" applyFont="1" applyFill="1" applyAlignment="1"/>
    <xf numFmtId="2" fontId="23" fillId="0" borderId="0" xfId="0" applyNumberFormat="1" applyFont="1" applyAlignment="1">
      <alignment horizontal="right"/>
    </xf>
    <xf numFmtId="2" fontId="15" fillId="0" borderId="0" xfId="0" applyNumberFormat="1" applyFont="1" applyAlignment="1"/>
    <xf numFmtId="2" fontId="10" fillId="3" borderId="14" xfId="0" applyNumberFormat="1" applyFont="1" applyFill="1" applyBorder="1" applyAlignment="1"/>
    <xf numFmtId="2" fontId="24" fillId="3" borderId="15" xfId="0" applyNumberFormat="1" applyFont="1" applyFill="1" applyBorder="1" applyAlignment="1"/>
    <xf numFmtId="2" fontId="24" fillId="3" borderId="0" xfId="0" applyNumberFormat="1" applyFont="1" applyFill="1" applyAlignment="1"/>
    <xf numFmtId="2" fontId="20" fillId="0" borderId="16" xfId="0" applyNumberFormat="1" applyFont="1" applyBorder="1" applyAlignment="1"/>
    <xf numFmtId="2" fontId="22" fillId="0" borderId="17" xfId="0" applyNumberFormat="1" applyFont="1" applyBorder="1" applyAlignment="1">
      <alignment horizontal="right"/>
    </xf>
    <xf numFmtId="2" fontId="7" fillId="4" borderId="0" xfId="0" applyNumberFormat="1" applyFont="1" applyFill="1" applyAlignment="1"/>
    <xf numFmtId="2" fontId="23" fillId="0" borderId="0" xfId="0" applyNumberFormat="1" applyFont="1" applyAlignment="1">
      <alignment horizontal="center"/>
    </xf>
    <xf numFmtId="2" fontId="25" fillId="0" borderId="0" xfId="0" applyNumberFormat="1" applyFont="1" applyAlignment="1"/>
    <xf numFmtId="2" fontId="7" fillId="3" borderId="18" xfId="0" applyNumberFormat="1" applyFont="1" applyFill="1" applyBorder="1" applyAlignment="1"/>
    <xf numFmtId="2" fontId="7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7" fillId="3" borderId="20" xfId="0" applyNumberFormat="1" applyFont="1" applyFill="1" applyBorder="1" applyAlignment="1"/>
    <xf numFmtId="2" fontId="24" fillId="0" borderId="21" xfId="0" applyNumberFormat="1" applyFont="1" applyBorder="1" applyAlignment="1"/>
    <xf numFmtId="2" fontId="12" fillId="0" borderId="0" xfId="0" applyNumberFormat="1" applyFont="1" applyAlignment="1"/>
    <xf numFmtId="2" fontId="7" fillId="0" borderId="0" xfId="0" applyNumberFormat="1" applyFont="1" applyAlignment="1">
      <alignment horizontal="center"/>
    </xf>
    <xf numFmtId="2" fontId="4" fillId="0" borderId="0" xfId="0" applyNumberFormat="1" applyFont="1" applyAlignment="1"/>
    <xf numFmtId="2" fontId="26" fillId="0" borderId="0" xfId="0" applyNumberFormat="1" applyFont="1" applyAlignment="1"/>
    <xf numFmtId="2" fontId="27" fillId="0" borderId="0" xfId="0" applyNumberFormat="1" applyFont="1" applyAlignment="1"/>
    <xf numFmtId="2" fontId="28" fillId="4" borderId="22" xfId="0" applyNumberFormat="1" applyFont="1" applyFill="1" applyBorder="1" applyAlignment="1"/>
    <xf numFmtId="2" fontId="28" fillId="4" borderId="23" xfId="0" applyNumberFormat="1" applyFont="1" applyFill="1" applyBorder="1" applyAlignment="1"/>
    <xf numFmtId="2" fontId="1" fillId="4" borderId="0" xfId="0" applyNumberFormat="1" applyFont="1" applyFill="1" applyAlignment="1"/>
    <xf numFmtId="2" fontId="1" fillId="4" borderId="25" xfId="0" applyNumberFormat="1" applyFont="1" applyFill="1" applyBorder="1" applyAlignment="1"/>
    <xf numFmtId="2" fontId="24" fillId="0" borderId="0" xfId="0" applyNumberFormat="1" applyFont="1" applyAlignment="1"/>
    <xf numFmtId="2" fontId="7" fillId="0" borderId="24" xfId="0" applyNumberFormat="1" applyFont="1" applyBorder="1" applyAlignment="1"/>
    <xf numFmtId="2" fontId="29" fillId="0" borderId="0" xfId="0" applyNumberFormat="1" applyFont="1" applyAlignment="1"/>
    <xf numFmtId="2" fontId="7" fillId="0" borderId="25" xfId="0" applyNumberFormat="1" applyFont="1" applyBorder="1" applyAlignment="1"/>
    <xf numFmtId="2" fontId="30" fillId="0" borderId="0" xfId="0" applyNumberFormat="1" applyFont="1" applyAlignment="1"/>
    <xf numFmtId="2" fontId="31" fillId="0" borderId="4" xfId="0" applyNumberFormat="1" applyFont="1" applyBorder="1" applyAlignment="1"/>
    <xf numFmtId="2" fontId="33" fillId="0" borderId="0" xfId="0" applyNumberFormat="1" applyFont="1" applyAlignment="1"/>
    <xf numFmtId="2" fontId="34" fillId="0" borderId="0" xfId="0" applyNumberFormat="1" applyFont="1" applyAlignment="1"/>
    <xf numFmtId="2" fontId="35" fillId="0" borderId="0" xfId="0" applyNumberFormat="1" applyFont="1" applyAlignment="1"/>
    <xf numFmtId="2" fontId="36" fillId="0" borderId="0" xfId="0" applyNumberFormat="1" applyFont="1" applyAlignment="1"/>
    <xf numFmtId="2" fontId="7" fillId="0" borderId="27" xfId="0" applyNumberFormat="1" applyFont="1" applyBorder="1" applyAlignment="1"/>
    <xf numFmtId="2" fontId="105" fillId="0" borderId="0" xfId="0" applyNumberFormat="1" applyFont="1" applyAlignment="1"/>
    <xf numFmtId="2" fontId="7" fillId="12" borderId="0" xfId="0" applyNumberFormat="1" applyFont="1" applyFill="1" applyAlignment="1"/>
    <xf numFmtId="2" fontId="7" fillId="0" borderId="0" xfId="0" applyNumberFormat="1" applyFont="1"/>
    <xf numFmtId="2" fontId="2" fillId="0" borderId="0" xfId="0" applyNumberFormat="1" applyFont="1"/>
    <xf numFmtId="2" fontId="9" fillId="0" borderId="0" xfId="0" applyNumberFormat="1" applyFont="1" applyAlignment="1">
      <alignment horizontal="right"/>
    </xf>
    <xf numFmtId="2" fontId="9" fillId="0" borderId="0" xfId="0" applyNumberFormat="1" applyFont="1"/>
    <xf numFmtId="2" fontId="30" fillId="13" borderId="0" xfId="0" applyNumberFormat="1" applyFont="1" applyFill="1" applyAlignment="1"/>
    <xf numFmtId="2" fontId="37" fillId="0" borderId="0" xfId="0" applyNumberFormat="1" applyFont="1" applyAlignment="1"/>
    <xf numFmtId="2" fontId="7" fillId="3" borderId="0" xfId="0" applyNumberFormat="1" applyFont="1" applyFill="1" applyAlignment="1"/>
    <xf numFmtId="2" fontId="7" fillId="13" borderId="0" xfId="0" applyNumberFormat="1" applyFont="1" applyFill="1" applyAlignment="1"/>
    <xf numFmtId="2" fontId="38" fillId="0" borderId="0" xfId="0" applyNumberFormat="1" applyFont="1" applyAlignment="1"/>
    <xf numFmtId="2" fontId="39" fillId="0" borderId="0" xfId="0" applyNumberFormat="1" applyFont="1" applyAlignment="1"/>
    <xf numFmtId="2" fontId="40" fillId="0" borderId="0" xfId="0" applyNumberFormat="1" applyFont="1" applyAlignment="1"/>
    <xf numFmtId="2" fontId="41" fillId="0" borderId="0" xfId="0" applyNumberFormat="1" applyFont="1" applyAlignment="1"/>
    <xf numFmtId="2" fontId="1" fillId="0" borderId="8" xfId="0" applyNumberFormat="1" applyFont="1" applyBorder="1" applyAlignment="1"/>
    <xf numFmtId="2" fontId="1" fillId="0" borderId="4" xfId="0" applyNumberFormat="1" applyFont="1" applyBorder="1" applyAlignment="1"/>
    <xf numFmtId="2" fontId="1" fillId="0" borderId="26" xfId="0" applyNumberFormat="1" applyFont="1" applyBorder="1" applyAlignment="1"/>
    <xf numFmtId="2" fontId="1" fillId="0" borderId="0" xfId="0" applyNumberFormat="1" applyFont="1" applyAlignment="1">
      <alignment horizontal="right"/>
    </xf>
    <xf numFmtId="2" fontId="7" fillId="0" borderId="5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2" fontId="30" fillId="0" borderId="8" xfId="0" applyNumberFormat="1" applyFont="1" applyBorder="1" applyAlignment="1"/>
    <xf numFmtId="2" fontId="7" fillId="0" borderId="26" xfId="0" applyNumberFormat="1" applyFont="1" applyBorder="1" applyAlignment="1"/>
    <xf numFmtId="2" fontId="7" fillId="0" borderId="1" xfId="0" applyNumberFormat="1" applyFont="1" applyBorder="1" applyAlignment="1"/>
    <xf numFmtId="2" fontId="43" fillId="0" borderId="0" xfId="0" applyNumberFormat="1" applyFont="1" applyAlignment="1"/>
    <xf numFmtId="2" fontId="44" fillId="0" borderId="0" xfId="0" applyNumberFormat="1" applyFont="1" applyAlignment="1" applyProtection="1">
      <protection locked="0"/>
    </xf>
    <xf numFmtId="2" fontId="45" fillId="0" borderId="0" xfId="0" applyNumberFormat="1" applyFont="1" applyAlignment="1"/>
    <xf numFmtId="2" fontId="37" fillId="0" borderId="0" xfId="0" applyNumberFormat="1" applyFont="1" applyAlignment="1">
      <alignment horizontal="right"/>
    </xf>
    <xf numFmtId="2" fontId="14" fillId="4" borderId="29" xfId="0" applyNumberFormat="1" applyFont="1" applyFill="1" applyBorder="1" applyAlignment="1">
      <alignment horizontal="right"/>
    </xf>
    <xf numFmtId="2" fontId="48" fillId="0" borderId="0" xfId="0" applyNumberFormat="1" applyFont="1" applyAlignment="1">
      <alignment horizontal="right"/>
    </xf>
    <xf numFmtId="2" fontId="48" fillId="0" borderId="0" xfId="0" applyNumberFormat="1" applyFont="1" applyAlignment="1"/>
    <xf numFmtId="2" fontId="25" fillId="0" borderId="0" xfId="0" applyNumberFormat="1" applyFont="1" applyAlignment="1" applyProtection="1">
      <protection locked="0"/>
    </xf>
    <xf numFmtId="2" fontId="25" fillId="24" borderId="0" xfId="0" applyNumberFormat="1" applyFont="1" applyFill="1" applyAlignment="1"/>
    <xf numFmtId="2" fontId="51" fillId="0" borderId="0" xfId="0" applyNumberFormat="1" applyFont="1" applyAlignment="1"/>
    <xf numFmtId="2" fontId="52" fillId="0" borderId="0" xfId="0" applyNumberFormat="1" applyFont="1" applyAlignment="1"/>
    <xf numFmtId="2" fontId="30" fillId="0" borderId="5" xfId="0" applyNumberFormat="1" applyFont="1" applyBorder="1" applyAlignment="1"/>
    <xf numFmtId="2" fontId="30" fillId="0" borderId="6" xfId="0" applyNumberFormat="1" applyFont="1" applyBorder="1" applyAlignment="1"/>
    <xf numFmtId="2" fontId="1" fillId="0" borderId="6" xfId="0" applyNumberFormat="1" applyFont="1" applyBorder="1" applyAlignment="1"/>
    <xf numFmtId="2" fontId="1" fillId="24" borderId="6" xfId="0" applyNumberFormat="1" applyFont="1" applyFill="1" applyBorder="1" applyAlignment="1"/>
    <xf numFmtId="2" fontId="105" fillId="24" borderId="62" xfId="0" applyNumberFormat="1" applyFont="1" applyFill="1" applyBorder="1"/>
    <xf numFmtId="2" fontId="105" fillId="2" borderId="63" xfId="0" applyNumberFormat="1" applyFont="1" applyFill="1" applyBorder="1"/>
    <xf numFmtId="2" fontId="118" fillId="24" borderId="62" xfId="0" applyNumberFormat="1" applyFont="1" applyFill="1" applyBorder="1"/>
    <xf numFmtId="2" fontId="106" fillId="24" borderId="62" xfId="0" applyNumberFormat="1" applyFont="1" applyFill="1" applyBorder="1"/>
    <xf numFmtId="2" fontId="105" fillId="5" borderId="61" xfId="0" applyNumberFormat="1" applyFont="1" applyFill="1" applyBorder="1" applyAlignment="1">
      <alignment horizontal="right"/>
    </xf>
    <xf numFmtId="2" fontId="105" fillId="5" borderId="32" xfId="0" applyNumberFormat="1" applyFont="1" applyFill="1" applyBorder="1"/>
    <xf numFmtId="2" fontId="105" fillId="5" borderId="64" xfId="0" applyNumberFormat="1" applyFont="1" applyFill="1" applyBorder="1"/>
    <xf numFmtId="2" fontId="106" fillId="5" borderId="64" xfId="0" applyNumberFormat="1" applyFont="1" applyFill="1" applyBorder="1"/>
    <xf numFmtId="2" fontId="106" fillId="24" borderId="31" xfId="0" applyNumberFormat="1" applyFont="1" applyFill="1" applyBorder="1"/>
    <xf numFmtId="2" fontId="7" fillId="0" borderId="6" xfId="0" applyNumberFormat="1" applyFont="1" applyBorder="1" applyAlignment="1"/>
    <xf numFmtId="2" fontId="7" fillId="24" borderId="0" xfId="0" applyNumberFormat="1" applyFont="1" applyFill="1" applyAlignment="1"/>
    <xf numFmtId="2" fontId="7" fillId="0" borderId="0" xfId="0" applyNumberFormat="1" applyFont="1" applyAlignment="1" applyProtection="1">
      <protection locked="0"/>
    </xf>
    <xf numFmtId="2" fontId="2" fillId="0" borderId="31" xfId="0" applyNumberFormat="1" applyFont="1" applyBorder="1"/>
    <xf numFmtId="2" fontId="7" fillId="0" borderId="2" xfId="0" applyNumberFormat="1" applyFont="1" applyBorder="1" applyAlignment="1"/>
    <xf numFmtId="2" fontId="7" fillId="16" borderId="33" xfId="0" applyNumberFormat="1" applyFont="1" applyFill="1" applyBorder="1" applyAlignment="1">
      <alignment horizontal="left"/>
    </xf>
    <xf numFmtId="2" fontId="7" fillId="16" borderId="35" xfId="0" applyNumberFormat="1" applyFont="1" applyFill="1" applyBorder="1" applyAlignment="1">
      <alignment horizontal="left"/>
    </xf>
    <xf numFmtId="2" fontId="7" fillId="0" borderId="6" xfId="0" applyNumberFormat="1" applyFont="1" applyBorder="1" applyAlignment="1">
      <alignment horizontal="left"/>
    </xf>
    <xf numFmtId="2" fontId="107" fillId="0" borderId="6" xfId="0" applyNumberFormat="1" applyFont="1" applyBorder="1" applyAlignment="1">
      <alignment horizontal="left"/>
    </xf>
    <xf numFmtId="2" fontId="7" fillId="17" borderId="37" xfId="0" applyNumberFormat="1" applyFont="1" applyFill="1" applyBorder="1" applyAlignment="1">
      <alignment horizontal="left"/>
    </xf>
    <xf numFmtId="2" fontId="7" fillId="17" borderId="39" xfId="0" applyNumberFormat="1" applyFont="1" applyFill="1" applyBorder="1" applyAlignment="1">
      <alignment horizontal="left"/>
    </xf>
    <xf numFmtId="2" fontId="7" fillId="18" borderId="41" xfId="0" applyNumberFormat="1" applyFont="1" applyFill="1" applyBorder="1" applyAlignment="1">
      <alignment horizontal="left"/>
    </xf>
    <xf numFmtId="2" fontId="7" fillId="18" borderId="43" xfId="0" applyNumberFormat="1" applyFont="1" applyFill="1" applyBorder="1" applyAlignment="1">
      <alignment horizontal="left"/>
    </xf>
    <xf numFmtId="2" fontId="2" fillId="0" borderId="45" xfId="0" applyNumberFormat="1" applyFont="1" applyBorder="1" applyAlignment="1">
      <alignment horizontal="left"/>
    </xf>
    <xf numFmtId="2" fontId="7" fillId="0" borderId="46" xfId="0" applyNumberFormat="1" applyFont="1" applyBorder="1" applyAlignment="1">
      <alignment horizontal="left"/>
    </xf>
    <xf numFmtId="2" fontId="7" fillId="0" borderId="47" xfId="0" applyNumberFormat="1" applyFont="1" applyBorder="1" applyAlignment="1">
      <alignment horizontal="left"/>
    </xf>
    <xf numFmtId="2" fontId="107" fillId="0" borderId="48" xfId="0" applyNumberFormat="1" applyFont="1" applyBorder="1" applyAlignment="1">
      <alignment horizontal="left"/>
    </xf>
    <xf numFmtId="2" fontId="7" fillId="0" borderId="48" xfId="0" applyNumberFormat="1" applyFont="1" applyBorder="1" applyAlignment="1">
      <alignment horizontal="left"/>
    </xf>
    <xf numFmtId="2" fontId="1" fillId="0" borderId="48" xfId="0" applyNumberFormat="1" applyFont="1" applyBorder="1" applyAlignment="1">
      <alignment horizontal="left"/>
    </xf>
    <xf numFmtId="2" fontId="108" fillId="0" borderId="47" xfId="0" applyNumberFormat="1" applyFont="1" applyBorder="1" applyAlignment="1">
      <alignment horizontal="left"/>
    </xf>
    <xf numFmtId="2" fontId="108" fillId="0" borderId="48" xfId="0" applyNumberFormat="1" applyFont="1" applyBorder="1" applyAlignment="1">
      <alignment horizontal="left"/>
    </xf>
    <xf numFmtId="2" fontId="108" fillId="24" borderId="6" xfId="0" applyNumberFormat="1" applyFont="1" applyFill="1" applyBorder="1" applyAlignment="1"/>
    <xf numFmtId="2" fontId="7" fillId="0" borderId="49" xfId="0" applyNumberFormat="1" applyFont="1" applyBorder="1" applyAlignment="1">
      <alignment horizontal="left"/>
    </xf>
    <xf numFmtId="2" fontId="2" fillId="0" borderId="50" xfId="0" applyNumberFormat="1" applyFont="1" applyBorder="1" applyAlignment="1">
      <alignment horizontal="left"/>
    </xf>
    <xf numFmtId="2" fontId="1" fillId="0" borderId="71" xfId="0" applyNumberFormat="1" applyFont="1" applyBorder="1" applyAlignment="1"/>
    <xf numFmtId="2" fontId="7" fillId="0" borderId="71" xfId="0" applyNumberFormat="1" applyFont="1" applyBorder="1" applyAlignment="1">
      <alignment horizontal="center"/>
    </xf>
    <xf numFmtId="2" fontId="7" fillId="0" borderId="71" xfId="0" applyNumberFormat="1" applyFont="1" applyBorder="1" applyAlignment="1"/>
    <xf numFmtId="2" fontId="53" fillId="0" borderId="71" xfId="0" applyNumberFormat="1" applyFont="1" applyBorder="1" applyAlignment="1">
      <alignment horizontal="left"/>
    </xf>
    <xf numFmtId="2" fontId="54" fillId="0" borderId="71" xfId="0" applyNumberFormat="1" applyFont="1" applyBorder="1" applyAlignment="1">
      <alignment horizontal="left"/>
    </xf>
    <xf numFmtId="2" fontId="7" fillId="0" borderId="71" xfId="0" applyNumberFormat="1" applyFont="1" applyBorder="1" applyAlignment="1">
      <alignment horizontal="left"/>
    </xf>
    <xf numFmtId="2" fontId="53" fillId="3" borderId="71" xfId="0" applyNumberFormat="1" applyFont="1" applyFill="1" applyBorder="1" applyAlignment="1">
      <alignment horizontal="left"/>
    </xf>
    <xf numFmtId="2" fontId="7" fillId="0" borderId="0" xfId="0" applyNumberFormat="1" applyFont="1" applyAlignment="1">
      <alignment horizontal="left"/>
    </xf>
    <xf numFmtId="2" fontId="7" fillId="2" borderId="71" xfId="0" applyNumberFormat="1" applyFont="1" applyFill="1" applyBorder="1" applyAlignment="1">
      <alignment horizontal="center"/>
    </xf>
    <xf numFmtId="2" fontId="7" fillId="2" borderId="71" xfId="0" applyNumberFormat="1" applyFont="1" applyFill="1" applyBorder="1" applyAlignment="1"/>
    <xf numFmtId="2" fontId="53" fillId="2" borderId="71" xfId="0" applyNumberFormat="1" applyFont="1" applyFill="1" applyBorder="1" applyAlignment="1">
      <alignment horizontal="left"/>
    </xf>
    <xf numFmtId="2" fontId="54" fillId="2" borderId="71" xfId="0" applyNumberFormat="1" applyFont="1" applyFill="1" applyBorder="1" applyAlignment="1">
      <alignment horizontal="left"/>
    </xf>
    <xf numFmtId="2" fontId="55" fillId="3" borderId="71" xfId="0" applyNumberFormat="1" applyFont="1" applyFill="1" applyBorder="1" applyAlignment="1">
      <alignment horizontal="left"/>
    </xf>
    <xf numFmtId="2" fontId="56" fillId="0" borderId="0" xfId="0" applyNumberFormat="1" applyFont="1" applyAlignment="1"/>
    <xf numFmtId="2" fontId="39" fillId="0" borderId="71" xfId="0" applyNumberFormat="1" applyFont="1" applyBorder="1" applyAlignment="1"/>
    <xf numFmtId="2" fontId="57" fillId="0" borderId="71" xfId="0" applyNumberFormat="1" applyFont="1" applyBorder="1" applyAlignment="1">
      <alignment horizontal="left"/>
    </xf>
    <xf numFmtId="2" fontId="0" fillId="0" borderId="71" xfId="0" applyNumberFormat="1" applyFont="1" applyBorder="1" applyAlignment="1">
      <alignment horizontal="left"/>
    </xf>
    <xf numFmtId="2" fontId="39" fillId="0" borderId="0" xfId="0" applyNumberFormat="1" applyFont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56" fillId="0" borderId="0" xfId="0" applyNumberFormat="1" applyFont="1" applyBorder="1" applyAlignment="1"/>
    <xf numFmtId="2" fontId="7" fillId="19" borderId="71" xfId="0" applyNumberFormat="1" applyFont="1" applyFill="1" applyBorder="1" applyAlignment="1"/>
    <xf numFmtId="2" fontId="54" fillId="19" borderId="71" xfId="0" applyNumberFormat="1" applyFont="1" applyFill="1" applyBorder="1" applyAlignment="1">
      <alignment horizontal="left"/>
    </xf>
    <xf numFmtId="2" fontId="130" fillId="3" borderId="71" xfId="0" applyNumberFormat="1" applyFont="1" applyFill="1" applyBorder="1" applyAlignment="1"/>
    <xf numFmtId="2" fontId="7" fillId="3" borderId="71" xfId="0" applyNumberFormat="1" applyFont="1" applyFill="1" applyBorder="1" applyAlignment="1"/>
    <xf numFmtId="2" fontId="7" fillId="0" borderId="0" xfId="0" applyNumberFormat="1" applyFont="1" applyBorder="1" applyAlignment="1">
      <alignment horizontal="center"/>
    </xf>
    <xf numFmtId="2" fontId="7" fillId="2" borderId="71" xfId="0" applyNumberFormat="1" applyFont="1" applyFill="1" applyBorder="1" applyAlignment="1">
      <alignment horizontal="right"/>
    </xf>
    <xf numFmtId="2" fontId="130" fillId="3" borderId="71" xfId="0" applyNumberFormat="1" applyFont="1" applyFill="1" applyBorder="1" applyAlignment="1">
      <alignment horizontal="right"/>
    </xf>
    <xf numFmtId="2" fontId="58" fillId="2" borderId="71" xfId="0" applyNumberFormat="1" applyFont="1" applyFill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2" fontId="128" fillId="3" borderId="71" xfId="0" applyNumberFormat="1" applyFont="1" applyFill="1" applyBorder="1" applyAlignment="1">
      <alignment horizontal="right"/>
    </xf>
    <xf numFmtId="2" fontId="59" fillId="0" borderId="0" xfId="0" applyNumberFormat="1" applyFont="1" applyAlignment="1"/>
    <xf numFmtId="2" fontId="131" fillId="28" borderId="71" xfId="0" applyNumberFormat="1" applyFont="1" applyFill="1" applyBorder="1"/>
    <xf numFmtId="2" fontId="58" fillId="0" borderId="71" xfId="0" applyNumberFormat="1" applyFont="1" applyBorder="1" applyAlignment="1">
      <alignment horizontal="left"/>
    </xf>
    <xf numFmtId="2" fontId="60" fillId="2" borderId="71" xfId="0" applyNumberFormat="1" applyFont="1" applyFill="1" applyBorder="1" applyAlignment="1"/>
    <xf numFmtId="2" fontId="61" fillId="2" borderId="71" xfId="0" applyNumberFormat="1" applyFont="1" applyFill="1" applyBorder="1" applyAlignment="1">
      <alignment horizontal="left"/>
    </xf>
    <xf numFmtId="2" fontId="60" fillId="0" borderId="0" xfId="0" applyNumberFormat="1" applyFont="1" applyBorder="1" applyAlignment="1">
      <alignment horizontal="left"/>
    </xf>
    <xf numFmtId="2" fontId="36" fillId="0" borderId="0" xfId="0" applyNumberFormat="1" applyFont="1" applyAlignment="1">
      <alignment horizontal="left"/>
    </xf>
    <xf numFmtId="2" fontId="62" fillId="0" borderId="0" xfId="0" applyNumberFormat="1" applyFont="1" applyAlignment="1">
      <alignment horizontal="left"/>
    </xf>
    <xf numFmtId="2" fontId="7" fillId="0" borderId="71" xfId="0" applyNumberFormat="1" applyFont="1" applyBorder="1" applyAlignment="1">
      <alignment horizontal="right"/>
    </xf>
    <xf numFmtId="2" fontId="114" fillId="0" borderId="71" xfId="0" applyNumberFormat="1" applyFont="1" applyBorder="1" applyAlignment="1">
      <alignment horizontal="left"/>
    </xf>
    <xf numFmtId="2" fontId="42" fillId="2" borderId="71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 horizontal="left"/>
    </xf>
    <xf numFmtId="2" fontId="1" fillId="2" borderId="71" xfId="0" applyNumberFormat="1" applyFont="1" applyFill="1" applyBorder="1" applyAlignment="1"/>
    <xf numFmtId="2" fontId="64" fillId="2" borderId="71" xfId="0" applyNumberFormat="1" applyFont="1" applyFill="1" applyBorder="1" applyAlignment="1">
      <alignment horizontal="left"/>
    </xf>
    <xf numFmtId="2" fontId="128" fillId="3" borderId="71" xfId="0" applyNumberFormat="1" applyFont="1" applyFill="1" applyBorder="1" applyAlignment="1"/>
    <xf numFmtId="2" fontId="66" fillId="0" borderId="0" xfId="0" applyNumberFormat="1" applyFont="1" applyAlignment="1">
      <alignment horizontal="left"/>
    </xf>
    <xf numFmtId="2" fontId="14" fillId="2" borderId="71" xfId="0" applyNumberFormat="1" applyFont="1" applyFill="1" applyBorder="1" applyAlignment="1">
      <alignment horizontal="right"/>
    </xf>
    <xf numFmtId="2" fontId="3" fillId="0" borderId="0" xfId="0" applyNumberFormat="1" applyFont="1" applyAlignment="1"/>
    <xf numFmtId="2" fontId="14" fillId="2" borderId="71" xfId="0" applyNumberFormat="1" applyFont="1" applyFill="1" applyBorder="1" applyAlignment="1"/>
    <xf numFmtId="2" fontId="14" fillId="3" borderId="71" xfId="0" applyNumberFormat="1" applyFont="1" applyFill="1" applyBorder="1" applyAlignment="1"/>
    <xf numFmtId="2" fontId="1" fillId="0" borderId="0" xfId="0" applyNumberFormat="1" applyFont="1" applyAlignment="1">
      <alignment horizontal="left"/>
    </xf>
    <xf numFmtId="2" fontId="7" fillId="2" borderId="71" xfId="0" applyNumberFormat="1" applyFont="1" applyFill="1" applyBorder="1" applyAlignment="1">
      <alignment horizontal="left"/>
    </xf>
    <xf numFmtId="2" fontId="58" fillId="2" borderId="71" xfId="0" applyNumberFormat="1" applyFont="1" applyFill="1" applyBorder="1" applyAlignment="1">
      <alignment horizontal="center"/>
    </xf>
    <xf numFmtId="2" fontId="39" fillId="2" borderId="71" xfId="0" applyNumberFormat="1" applyFont="1" applyFill="1" applyBorder="1" applyAlignment="1">
      <alignment horizontal="right"/>
    </xf>
    <xf numFmtId="2" fontId="39" fillId="0" borderId="0" xfId="0" applyNumberFormat="1" applyFont="1" applyAlignment="1">
      <alignment horizontal="right"/>
    </xf>
    <xf numFmtId="2" fontId="56" fillId="0" borderId="0" xfId="0" applyNumberFormat="1" applyFont="1" applyAlignment="1">
      <alignment horizontal="left"/>
    </xf>
    <xf numFmtId="2" fontId="67" fillId="2" borderId="71" xfId="0" applyNumberFormat="1" applyFont="1" applyFill="1" applyBorder="1" applyAlignment="1"/>
    <xf numFmtId="2" fontId="3" fillId="0" borderId="71" xfId="0" applyNumberFormat="1" applyFont="1" applyBorder="1" applyAlignment="1"/>
    <xf numFmtId="2" fontId="54" fillId="2" borderId="71" xfId="0" applyNumberFormat="1" applyFont="1" applyFill="1" applyBorder="1" applyAlignment="1"/>
    <xf numFmtId="2" fontId="68" fillId="2" borderId="71" xfId="0" applyNumberFormat="1" applyFont="1" applyFill="1" applyBorder="1" applyAlignment="1">
      <alignment horizontal="right"/>
    </xf>
    <xf numFmtId="2" fontId="69" fillId="0" borderId="0" xfId="0" applyNumberFormat="1" applyFont="1" applyAlignment="1">
      <alignment horizontal="right"/>
    </xf>
    <xf numFmtId="2" fontId="7" fillId="3" borderId="71" xfId="0" applyNumberFormat="1" applyFont="1" applyFill="1" applyBorder="1" applyAlignment="1">
      <alignment horizontal="right"/>
    </xf>
    <xf numFmtId="2" fontId="14" fillId="0" borderId="71" xfId="0" applyNumberFormat="1" applyFont="1" applyBorder="1" applyAlignment="1"/>
    <xf numFmtId="2" fontId="124" fillId="0" borderId="71" xfId="0" applyNumberFormat="1" applyFont="1" applyBorder="1" applyAlignment="1">
      <alignment horizontal="left"/>
    </xf>
    <xf numFmtId="2" fontId="70" fillId="0" borderId="0" xfId="0" applyNumberFormat="1" applyFont="1" applyAlignment="1">
      <alignment horizontal="left"/>
    </xf>
    <xf numFmtId="2" fontId="66" fillId="0" borderId="71" xfId="0" applyNumberFormat="1" applyFont="1" applyBorder="1" applyAlignment="1">
      <alignment horizontal="left"/>
    </xf>
    <xf numFmtId="2" fontId="72" fillId="21" borderId="71" xfId="0" applyNumberFormat="1" applyFont="1" applyFill="1" applyBorder="1" applyAlignment="1">
      <alignment horizontal="left"/>
    </xf>
    <xf numFmtId="2" fontId="73" fillId="0" borderId="0" xfId="0" applyNumberFormat="1" applyFont="1" applyAlignment="1"/>
    <xf numFmtId="2" fontId="72" fillId="0" borderId="0" xfId="0" applyNumberFormat="1" applyFont="1" applyAlignment="1">
      <alignment horizontal="left"/>
    </xf>
    <xf numFmtId="2" fontId="72" fillId="0" borderId="0" xfId="0" applyNumberFormat="1" applyFont="1" applyAlignment="1">
      <alignment horizontal="right"/>
    </xf>
    <xf numFmtId="2" fontId="106" fillId="22" borderId="71" xfId="0" applyNumberFormat="1" applyFont="1" applyFill="1" applyBorder="1" applyAlignment="1"/>
    <xf numFmtId="2" fontId="125" fillId="22" borderId="71" xfId="0" applyNumberFormat="1" applyFont="1" applyFill="1" applyBorder="1" applyAlignment="1">
      <alignment horizontal="left"/>
    </xf>
    <xf numFmtId="2" fontId="74" fillId="0" borderId="71" xfId="0" applyNumberFormat="1" applyFont="1" applyBorder="1" applyAlignment="1">
      <alignment horizontal="right"/>
    </xf>
    <xf numFmtId="2" fontId="75" fillId="0" borderId="71" xfId="0" applyNumberFormat="1" applyFont="1" applyBorder="1" applyAlignment="1">
      <alignment horizontal="left"/>
    </xf>
    <xf numFmtId="2" fontId="0" fillId="0" borderId="71" xfId="0" applyNumberFormat="1" applyFont="1" applyBorder="1" applyAlignment="1"/>
    <xf numFmtId="2" fontId="1" fillId="0" borderId="71" xfId="0" applyNumberFormat="1" applyFont="1" applyBorder="1" applyAlignment="1">
      <alignment horizontal="right"/>
    </xf>
    <xf numFmtId="2" fontId="76" fillId="0" borderId="71" xfId="0" applyNumberFormat="1" applyFont="1" applyBorder="1" applyAlignment="1">
      <alignment horizontal="right"/>
    </xf>
    <xf numFmtId="2" fontId="77" fillId="0" borderId="71" xfId="0" applyNumberFormat="1" applyFont="1" applyBorder="1" applyAlignment="1">
      <alignment horizontal="left"/>
    </xf>
    <xf numFmtId="2" fontId="2" fillId="0" borderId="71" xfId="0" applyNumberFormat="1" applyFont="1" applyBorder="1" applyAlignment="1"/>
    <xf numFmtId="2" fontId="35" fillId="0" borderId="0" xfId="0" applyNumberFormat="1" applyFont="1" applyAlignment="1">
      <alignment horizontal="right"/>
    </xf>
    <xf numFmtId="2" fontId="78" fillId="0" borderId="71" xfId="0" applyNumberFormat="1" applyFont="1" applyBorder="1" applyAlignment="1">
      <alignment horizontal="left"/>
    </xf>
    <xf numFmtId="2" fontId="79" fillId="18" borderId="71" xfId="0" applyNumberFormat="1" applyFont="1" applyFill="1" applyBorder="1" applyAlignment="1"/>
    <xf numFmtId="2" fontId="32" fillId="0" borderId="71" xfId="0" applyNumberFormat="1" applyFont="1" applyBorder="1"/>
    <xf numFmtId="2" fontId="80" fillId="18" borderId="71" xfId="0" applyNumberFormat="1" applyFont="1" applyFill="1" applyBorder="1" applyAlignment="1">
      <alignment horizontal="left"/>
    </xf>
    <xf numFmtId="2" fontId="7" fillId="24" borderId="71" xfId="0" applyNumberFormat="1" applyFont="1" applyFill="1" applyBorder="1" applyAlignment="1"/>
    <xf numFmtId="2" fontId="6" fillId="0" borderId="0" xfId="0" applyNumberFormat="1" applyFont="1" applyAlignment="1"/>
    <xf numFmtId="2" fontId="81" fillId="0" borderId="0" xfId="0" applyNumberFormat="1" applyFont="1" applyAlignment="1"/>
    <xf numFmtId="2" fontId="82" fillId="0" borderId="0" xfId="0" applyNumberFormat="1" applyFont="1" applyAlignment="1"/>
    <xf numFmtId="2" fontId="83" fillId="13" borderId="0" xfId="0" applyNumberFormat="1" applyFont="1" applyFill="1" applyAlignment="1"/>
    <xf numFmtId="2" fontId="84" fillId="0" borderId="0" xfId="0" applyNumberFormat="1" applyFont="1" applyAlignment="1"/>
    <xf numFmtId="2" fontId="0" fillId="24" borderId="0" xfId="0" applyNumberFormat="1" applyFont="1" applyFill="1" applyAlignment="1"/>
    <xf numFmtId="2" fontId="5" fillId="0" borderId="0" xfId="0" applyNumberFormat="1" applyFont="1" applyBorder="1" applyAlignment="1">
      <alignment horizontal="center"/>
    </xf>
    <xf numFmtId="2" fontId="85" fillId="0" borderId="27" xfId="0" applyNumberFormat="1" applyFont="1" applyBorder="1" applyAlignment="1"/>
    <xf numFmtId="2" fontId="32" fillId="0" borderId="16" xfId="0" applyNumberFormat="1" applyFont="1" applyBorder="1"/>
    <xf numFmtId="2" fontId="86" fillId="0" borderId="0" xfId="0" applyNumberFormat="1" applyFont="1" applyAlignment="1"/>
    <xf numFmtId="2" fontId="85" fillId="0" borderId="0" xfId="0" applyNumberFormat="1" applyFont="1" applyAlignment="1"/>
    <xf numFmtId="2" fontId="87" fillId="0" borderId="0" xfId="0" applyNumberFormat="1" applyFont="1" applyAlignment="1"/>
    <xf numFmtId="2" fontId="107" fillId="0" borderId="0" xfId="0" applyNumberFormat="1" applyFont="1" applyAlignment="1">
      <alignment horizontal="center"/>
    </xf>
    <xf numFmtId="2" fontId="112" fillId="0" borderId="0" xfId="0" applyNumberFormat="1" applyFont="1" applyAlignment="1"/>
    <xf numFmtId="2" fontId="48" fillId="0" borderId="1" xfId="0" applyNumberFormat="1" applyFont="1" applyBorder="1" applyAlignment="1">
      <alignment horizontal="right"/>
    </xf>
    <xf numFmtId="2" fontId="48" fillId="0" borderId="0" xfId="0" applyNumberFormat="1" applyFont="1" applyBorder="1" applyAlignment="1">
      <alignment horizontal="right"/>
    </xf>
    <xf numFmtId="2" fontId="88" fillId="0" borderId="0" xfId="0" applyNumberFormat="1" applyFont="1" applyAlignment="1"/>
    <xf numFmtId="2" fontId="7" fillId="10" borderId="0" xfId="0" applyNumberFormat="1" applyFont="1" applyFill="1" applyAlignment="1"/>
    <xf numFmtId="2" fontId="1" fillId="0" borderId="53" xfId="0" applyNumberFormat="1" applyFont="1" applyBorder="1" applyAlignment="1"/>
    <xf numFmtId="2" fontId="1" fillId="0" borderId="17" xfId="0" applyNumberFormat="1" applyFont="1" applyBorder="1" applyAlignment="1"/>
    <xf numFmtId="2" fontId="1" fillId="0" borderId="16" xfId="0" applyNumberFormat="1" applyFont="1" applyBorder="1" applyAlignment="1"/>
    <xf numFmtId="2" fontId="1" fillId="24" borderId="16" xfId="0" applyNumberFormat="1" applyFont="1" applyFill="1" applyBorder="1" applyAlignment="1"/>
    <xf numFmtId="2" fontId="105" fillId="2" borderId="61" xfId="0" applyNumberFormat="1" applyFont="1" applyFill="1" applyBorder="1" applyAlignment="1">
      <alignment horizontal="right"/>
    </xf>
    <xf numFmtId="2" fontId="105" fillId="2" borderId="61" xfId="0" applyNumberFormat="1" applyFont="1" applyFill="1" applyBorder="1" applyAlignment="1"/>
    <xf numFmtId="2" fontId="105" fillId="5" borderId="61" xfId="0" applyNumberFormat="1" applyFont="1" applyFill="1" applyBorder="1" applyAlignment="1">
      <alignment horizontal="left"/>
    </xf>
    <xf numFmtId="2" fontId="105" fillId="5" borderId="62" xfId="0" applyNumberFormat="1" applyFont="1" applyFill="1" applyBorder="1" applyAlignment="1">
      <alignment horizontal="left"/>
    </xf>
    <xf numFmtId="2" fontId="105" fillId="2" borderId="61" xfId="0" applyNumberFormat="1" applyFont="1" applyFill="1" applyBorder="1" applyAlignment="1">
      <alignment horizontal="left"/>
    </xf>
    <xf numFmtId="2" fontId="105" fillId="2" borderId="62" xfId="0" applyNumberFormat="1" applyFont="1" applyFill="1" applyBorder="1" applyAlignment="1">
      <alignment horizontal="left"/>
    </xf>
    <xf numFmtId="2" fontId="105" fillId="5" borderId="61" xfId="0" applyNumberFormat="1" applyFont="1" applyFill="1" applyBorder="1" applyAlignment="1"/>
    <xf numFmtId="2" fontId="129" fillId="7" borderId="61" xfId="0" applyNumberFormat="1" applyFont="1" applyFill="1" applyBorder="1" applyAlignment="1"/>
    <xf numFmtId="2" fontId="106" fillId="5" borderId="61" xfId="0" applyNumberFormat="1" applyFont="1" applyFill="1" applyBorder="1" applyAlignment="1"/>
    <xf numFmtId="2" fontId="106" fillId="5" borderId="61" xfId="0" applyNumberFormat="1" applyFont="1" applyFill="1" applyBorder="1" applyAlignment="1">
      <alignment horizontal="left"/>
    </xf>
    <xf numFmtId="2" fontId="106" fillId="2" borderId="61" xfId="0" applyNumberFormat="1" applyFont="1" applyFill="1" applyBorder="1" applyAlignment="1"/>
    <xf numFmtId="2" fontId="106" fillId="2" borderId="61" xfId="0" applyNumberFormat="1" applyFont="1" applyFill="1" applyBorder="1" applyAlignment="1">
      <alignment horizontal="left"/>
    </xf>
    <xf numFmtId="2" fontId="105" fillId="5" borderId="62" xfId="0" applyNumberFormat="1" applyFont="1" applyFill="1" applyBorder="1" applyAlignment="1">
      <alignment horizontal="right"/>
    </xf>
    <xf numFmtId="2" fontId="105" fillId="2" borderId="62" xfId="0" applyNumberFormat="1" applyFont="1" applyFill="1" applyBorder="1" applyAlignment="1">
      <alignment horizontal="right"/>
    </xf>
    <xf numFmtId="2" fontId="105" fillId="2" borderId="64" xfId="0" applyNumberFormat="1" applyFont="1" applyFill="1" applyBorder="1" applyAlignment="1"/>
    <xf numFmtId="2" fontId="105" fillId="2" borderId="64" xfId="0" applyNumberFormat="1" applyFont="1" applyFill="1" applyBorder="1" applyAlignment="1">
      <alignment horizontal="left"/>
    </xf>
    <xf numFmtId="2" fontId="105" fillId="2" borderId="31" xfId="0" applyNumberFormat="1" applyFont="1" applyFill="1" applyBorder="1" applyAlignment="1">
      <alignment horizontal="right"/>
    </xf>
    <xf numFmtId="2" fontId="1" fillId="0" borderId="31" xfId="0" applyNumberFormat="1" applyFont="1" applyBorder="1" applyAlignment="1"/>
    <xf numFmtId="2" fontId="2" fillId="0" borderId="31" xfId="0" applyNumberFormat="1" applyFont="1" applyBorder="1" applyAlignment="1">
      <alignment horizontal="left"/>
    </xf>
    <xf numFmtId="2" fontId="7" fillId="0" borderId="31" xfId="0" applyNumberFormat="1" applyFont="1" applyBorder="1" applyAlignment="1">
      <alignment horizontal="left"/>
    </xf>
    <xf numFmtId="2" fontId="106" fillId="0" borderId="31" xfId="0" applyNumberFormat="1" applyFont="1" applyBorder="1" applyAlignment="1">
      <alignment horizontal="right"/>
    </xf>
    <xf numFmtId="2" fontId="7" fillId="0" borderId="6" xfId="0" applyNumberFormat="1" applyFont="1" applyBorder="1" applyAlignment="1">
      <alignment horizontal="right"/>
    </xf>
    <xf numFmtId="2" fontId="14" fillId="0" borderId="16" xfId="0" applyNumberFormat="1" applyFont="1" applyBorder="1" applyAlignment="1"/>
    <xf numFmtId="2" fontId="106" fillId="0" borderId="31" xfId="0" applyNumberFormat="1" applyFont="1" applyBorder="1" applyAlignment="1">
      <alignment horizontal="left"/>
    </xf>
    <xf numFmtId="2" fontId="14" fillId="24" borderId="0" xfId="0" applyNumberFormat="1" applyFont="1" applyFill="1" applyBorder="1" applyAlignment="1"/>
    <xf numFmtId="2" fontId="14" fillId="24" borderId="0" xfId="0" applyNumberFormat="1" applyFont="1" applyFill="1" applyAlignment="1"/>
    <xf numFmtId="2" fontId="79" fillId="0" borderId="0" xfId="0" applyNumberFormat="1" applyFont="1" applyAlignment="1"/>
    <xf numFmtId="2" fontId="79" fillId="24" borderId="0" xfId="0" applyNumberFormat="1" applyFont="1" applyFill="1" applyAlignment="1"/>
    <xf numFmtId="2" fontId="107" fillId="0" borderId="31" xfId="0" applyNumberFormat="1" applyFont="1" applyBorder="1" applyAlignment="1">
      <alignment horizontal="left"/>
    </xf>
    <xf numFmtId="2" fontId="7" fillId="29" borderId="47" xfId="0" applyNumberFormat="1" applyFont="1" applyFill="1" applyBorder="1" applyAlignment="1">
      <alignment horizontal="left"/>
    </xf>
    <xf numFmtId="2" fontId="7" fillId="29" borderId="48" xfId="0" applyNumberFormat="1" applyFont="1" applyFill="1" applyBorder="1" applyAlignment="1">
      <alignment horizontal="left"/>
    </xf>
    <xf numFmtId="2" fontId="1" fillId="29" borderId="48" xfId="0" applyNumberFormat="1" applyFont="1" applyFill="1" applyBorder="1" applyAlignment="1">
      <alignment horizontal="left"/>
    </xf>
    <xf numFmtId="2" fontId="106" fillId="5" borderId="47" xfId="0" applyNumberFormat="1" applyFont="1" applyFill="1" applyBorder="1" applyAlignment="1">
      <alignment horizontal="left"/>
    </xf>
    <xf numFmtId="2" fontId="7" fillId="29" borderId="49" xfId="0" applyNumberFormat="1" applyFont="1" applyFill="1" applyBorder="1" applyAlignment="1">
      <alignment horizontal="left"/>
    </xf>
    <xf numFmtId="2" fontId="2" fillId="29" borderId="50" xfId="0" applyNumberFormat="1" applyFont="1" applyFill="1" applyBorder="1" applyAlignment="1">
      <alignment horizontal="left"/>
    </xf>
    <xf numFmtId="2" fontId="89" fillId="15" borderId="0" xfId="0" applyNumberFormat="1" applyFont="1" applyFill="1" applyAlignment="1"/>
    <xf numFmtId="2" fontId="89" fillId="26" borderId="0" xfId="0" applyNumberFormat="1" applyFont="1" applyFill="1" applyAlignment="1"/>
    <xf numFmtId="2" fontId="2" fillId="2" borderId="71" xfId="0" applyNumberFormat="1" applyFont="1" applyFill="1" applyBorder="1" applyAlignment="1">
      <alignment horizontal="right"/>
    </xf>
    <xf numFmtId="2" fontId="7" fillId="25" borderId="71" xfId="0" applyNumberFormat="1" applyFont="1" applyFill="1" applyBorder="1" applyAlignment="1"/>
    <xf numFmtId="2" fontId="7" fillId="25" borderId="71" xfId="0" applyNumberFormat="1" applyFont="1" applyFill="1" applyBorder="1" applyAlignment="1">
      <alignment horizontal="left"/>
    </xf>
    <xf numFmtId="2" fontId="9" fillId="2" borderId="71" xfId="0" applyNumberFormat="1" applyFont="1" applyFill="1" applyBorder="1" applyAlignment="1">
      <alignment horizontal="right"/>
    </xf>
    <xf numFmtId="2" fontId="4" fillId="19" borderId="71" xfId="0" applyNumberFormat="1" applyFont="1" applyFill="1" applyBorder="1" applyAlignment="1">
      <alignment horizontal="right"/>
    </xf>
    <xf numFmtId="2" fontId="57" fillId="7" borderId="71" xfId="0" applyNumberFormat="1" applyFont="1" applyFill="1" applyBorder="1" applyAlignment="1"/>
    <xf numFmtId="2" fontId="2" fillId="19" borderId="71" xfId="0" applyNumberFormat="1" applyFont="1" applyFill="1" applyBorder="1" applyAlignment="1">
      <alignment horizontal="right"/>
    </xf>
    <xf numFmtId="2" fontId="57" fillId="27" borderId="71" xfId="0" applyNumberFormat="1" applyFont="1" applyFill="1" applyBorder="1" applyAlignment="1"/>
    <xf numFmtId="2" fontId="5" fillId="0" borderId="71" xfId="0" applyNumberFormat="1" applyFont="1" applyBorder="1" applyAlignment="1"/>
    <xf numFmtId="2" fontId="2" fillId="0" borderId="71" xfId="0" applyNumberFormat="1" applyFont="1" applyBorder="1" applyAlignment="1">
      <alignment horizontal="right"/>
    </xf>
    <xf numFmtId="2" fontId="2" fillId="24" borderId="71" xfId="0" applyNumberFormat="1" applyFont="1" applyFill="1" applyBorder="1" applyAlignment="1"/>
    <xf numFmtId="2" fontId="110" fillId="19" borderId="71" xfId="0" applyNumberFormat="1" applyFont="1" applyFill="1" applyBorder="1" applyAlignment="1">
      <alignment horizontal="right"/>
    </xf>
    <xf numFmtId="2" fontId="113" fillId="0" borderId="71" xfId="0" applyNumberFormat="1" applyFont="1" applyBorder="1" applyAlignment="1"/>
    <xf numFmtId="2" fontId="113" fillId="24" borderId="71" xfId="0" applyNumberFormat="1" applyFont="1" applyFill="1" applyBorder="1" applyAlignment="1"/>
    <xf numFmtId="2" fontId="14" fillId="0" borderId="71" xfId="0" applyNumberFormat="1" applyFont="1" applyBorder="1" applyAlignment="1">
      <alignment horizontal="right"/>
    </xf>
    <xf numFmtId="2" fontId="65" fillId="2" borderId="71" xfId="0" applyNumberFormat="1" applyFont="1" applyFill="1" applyBorder="1" applyAlignment="1">
      <alignment horizontal="left"/>
    </xf>
    <xf numFmtId="2" fontId="14" fillId="25" borderId="71" xfId="0" applyNumberFormat="1" applyFont="1" applyFill="1" applyBorder="1" applyAlignment="1"/>
    <xf numFmtId="2" fontId="7" fillId="24" borderId="71" xfId="0" applyNumberFormat="1" applyFont="1" applyFill="1" applyBorder="1" applyAlignment="1">
      <alignment horizontal="left"/>
    </xf>
    <xf numFmtId="2" fontId="14" fillId="24" borderId="71" xfId="0" applyNumberFormat="1" applyFont="1" applyFill="1" applyBorder="1" applyAlignment="1"/>
    <xf numFmtId="2" fontId="111" fillId="0" borderId="71" xfId="0" applyNumberFormat="1" applyFont="1" applyBorder="1" applyAlignment="1">
      <alignment horizontal="center"/>
    </xf>
    <xf numFmtId="2" fontId="90" fillId="0" borderId="0" xfId="0" applyNumberFormat="1" applyFont="1" applyAlignment="1">
      <alignment horizontal="center"/>
    </xf>
    <xf numFmtId="2" fontId="90" fillId="0" borderId="71" xfId="0" applyNumberFormat="1" applyFont="1" applyBorder="1" applyAlignment="1">
      <alignment horizontal="center"/>
    </xf>
    <xf numFmtId="2" fontId="79" fillId="0" borderId="71" xfId="0" applyNumberFormat="1" applyFont="1" applyBorder="1" applyAlignment="1"/>
    <xf numFmtId="2" fontId="79" fillId="24" borderId="71" xfId="0" applyNumberFormat="1" applyFont="1" applyFill="1" applyBorder="1" applyAlignment="1"/>
    <xf numFmtId="2" fontId="91" fillId="0" borderId="0" xfId="0" applyNumberFormat="1" applyFont="1" applyAlignment="1"/>
    <xf numFmtId="2" fontId="72" fillId="0" borderId="71" xfId="0" applyNumberFormat="1" applyFont="1" applyBorder="1" applyAlignment="1">
      <alignment horizontal="right"/>
    </xf>
    <xf numFmtId="2" fontId="92" fillId="18" borderId="71" xfId="0" applyNumberFormat="1" applyFont="1" applyFill="1" applyBorder="1" applyAlignment="1">
      <alignment horizontal="left"/>
    </xf>
    <xf numFmtId="2" fontId="119" fillId="0" borderId="0" xfId="0" applyNumberFormat="1" applyFont="1" applyAlignment="1"/>
    <xf numFmtId="2" fontId="117" fillId="0" borderId="0" xfId="0" applyNumberFormat="1" applyFont="1" applyAlignment="1"/>
    <xf numFmtId="2" fontId="120" fillId="0" borderId="0" xfId="0" applyNumberFormat="1" applyFont="1" applyAlignment="1"/>
    <xf numFmtId="2" fontId="121" fillId="0" borderId="0" xfId="0" applyNumberFormat="1" applyFont="1" applyAlignment="1"/>
    <xf numFmtId="2" fontId="37" fillId="18" borderId="27" xfId="0" applyNumberFormat="1" applyFont="1" applyFill="1" applyBorder="1" applyAlignment="1"/>
    <xf numFmtId="2" fontId="93" fillId="0" borderId="0" xfId="0" applyNumberFormat="1" applyFont="1" applyAlignment="1"/>
    <xf numFmtId="2" fontId="25" fillId="12" borderId="0" xfId="0" applyNumberFormat="1" applyFont="1" applyFill="1" applyAlignment="1"/>
    <xf numFmtId="2" fontId="47" fillId="10" borderId="0" xfId="0" applyNumberFormat="1" applyFont="1" applyFill="1" applyAlignment="1"/>
    <xf numFmtId="2" fontId="25" fillId="10" borderId="0" xfId="0" applyNumberFormat="1" applyFont="1" applyFill="1" applyAlignment="1"/>
    <xf numFmtId="2" fontId="105" fillId="24" borderId="62" xfId="0" applyNumberFormat="1" applyFont="1" applyFill="1" applyBorder="1" applyAlignment="1"/>
    <xf numFmtId="2" fontId="105" fillId="25" borderId="62" xfId="0" applyNumberFormat="1" applyFont="1" applyFill="1" applyBorder="1" applyAlignment="1"/>
    <xf numFmtId="2" fontId="129" fillId="27" borderId="62" xfId="0" applyNumberFormat="1" applyFont="1" applyFill="1" applyBorder="1" applyAlignment="1"/>
    <xf numFmtId="2" fontId="108" fillId="5" borderId="61" xfId="0" applyNumberFormat="1" applyFont="1" applyFill="1" applyBorder="1" applyAlignment="1"/>
    <xf numFmtId="2" fontId="108" fillId="24" borderId="62" xfId="0" applyNumberFormat="1" applyFont="1" applyFill="1" applyBorder="1" applyAlignment="1"/>
    <xf numFmtId="2" fontId="105" fillId="24" borderId="62" xfId="0" applyNumberFormat="1" applyFont="1" applyFill="1" applyBorder="1" applyAlignment="1">
      <alignment horizontal="left"/>
    </xf>
    <xf numFmtId="2" fontId="105" fillId="25" borderId="62" xfId="0" applyNumberFormat="1" applyFont="1" applyFill="1" applyBorder="1" applyAlignment="1">
      <alignment horizontal="left"/>
    </xf>
    <xf numFmtId="2" fontId="107" fillId="2" borderId="64" xfId="0" applyNumberFormat="1" applyFont="1" applyFill="1" applyBorder="1" applyAlignment="1"/>
    <xf numFmtId="2" fontId="108" fillId="2" borderId="64" xfId="0" applyNumberFormat="1" applyFont="1" applyFill="1" applyBorder="1" applyAlignment="1"/>
    <xf numFmtId="2" fontId="108" fillId="25" borderId="31" xfId="0" applyNumberFormat="1" applyFont="1" applyFill="1" applyBorder="1" applyAlignment="1"/>
    <xf numFmtId="2" fontId="7" fillId="0" borderId="31" xfId="0" applyNumberFormat="1" applyFont="1" applyBorder="1" applyAlignment="1"/>
    <xf numFmtId="2" fontId="7" fillId="24" borderId="31" xfId="0" applyNumberFormat="1" applyFont="1" applyFill="1" applyBorder="1" applyAlignment="1"/>
    <xf numFmtId="2" fontId="105" fillId="5" borderId="65" xfId="0" applyNumberFormat="1" applyFont="1" applyFill="1" applyBorder="1" applyAlignment="1">
      <alignment horizontal="left"/>
    </xf>
    <xf numFmtId="2" fontId="105" fillId="5" borderId="66" xfId="0" applyNumberFormat="1" applyFont="1" applyFill="1" applyBorder="1" applyAlignment="1">
      <alignment horizontal="left"/>
    </xf>
    <xf numFmtId="2" fontId="105" fillId="2" borderId="67" xfId="0" applyNumberFormat="1" applyFont="1" applyFill="1" applyBorder="1" applyAlignment="1">
      <alignment horizontal="left"/>
    </xf>
    <xf numFmtId="2" fontId="105" fillId="2" borderId="68" xfId="0" applyNumberFormat="1" applyFont="1" applyFill="1" applyBorder="1" applyAlignment="1">
      <alignment horizontal="left"/>
    </xf>
    <xf numFmtId="2" fontId="105" fillId="5" borderId="67" xfId="0" applyNumberFormat="1" applyFont="1" applyFill="1" applyBorder="1" applyAlignment="1">
      <alignment horizontal="left"/>
    </xf>
    <xf numFmtId="2" fontId="105" fillId="5" borderId="68" xfId="0" applyNumberFormat="1" applyFont="1" applyFill="1" applyBorder="1" applyAlignment="1">
      <alignment horizontal="left"/>
    </xf>
    <xf numFmtId="2" fontId="107" fillId="2" borderId="68" xfId="0" applyNumberFormat="1" applyFont="1" applyFill="1" applyBorder="1" applyAlignment="1">
      <alignment horizontal="left"/>
    </xf>
    <xf numFmtId="2" fontId="106" fillId="5" borderId="67" xfId="0" applyNumberFormat="1" applyFont="1" applyFill="1" applyBorder="1" applyAlignment="1">
      <alignment horizontal="left"/>
    </xf>
    <xf numFmtId="2" fontId="106" fillId="5" borderId="68" xfId="0" applyNumberFormat="1" applyFont="1" applyFill="1" applyBorder="1" applyAlignment="1">
      <alignment horizontal="left"/>
    </xf>
    <xf numFmtId="2" fontId="106" fillId="24" borderId="0" xfId="0" applyNumberFormat="1" applyFont="1" applyFill="1" applyAlignment="1"/>
    <xf numFmtId="2" fontId="105" fillId="2" borderId="69" xfId="0" applyNumberFormat="1" applyFont="1" applyFill="1" applyBorder="1" applyAlignment="1">
      <alignment horizontal="left"/>
    </xf>
    <xf numFmtId="2" fontId="106" fillId="2" borderId="70" xfId="0" applyNumberFormat="1" applyFont="1" applyFill="1" applyBorder="1" applyAlignment="1">
      <alignment horizontal="left"/>
    </xf>
    <xf numFmtId="2" fontId="123" fillId="0" borderId="0" xfId="0" applyNumberFormat="1" applyFont="1" applyAlignment="1"/>
    <xf numFmtId="2" fontId="123" fillId="0" borderId="0" xfId="0" applyNumberFormat="1" applyFont="1" applyAlignment="1">
      <alignment horizontal="right"/>
    </xf>
    <xf numFmtId="2" fontId="1" fillId="0" borderId="72" xfId="0" applyNumberFormat="1" applyFont="1" applyBorder="1" applyAlignment="1"/>
    <xf numFmtId="2" fontId="1" fillId="24" borderId="72" xfId="0" applyNumberFormat="1" applyFont="1" applyFill="1" applyBorder="1" applyAlignment="1"/>
    <xf numFmtId="2" fontId="7" fillId="0" borderId="72" xfId="0" applyNumberFormat="1" applyFont="1" applyBorder="1" applyAlignment="1">
      <alignment horizontal="right"/>
    </xf>
    <xf numFmtId="2" fontId="2" fillId="0" borderId="72" xfId="0" applyNumberFormat="1" applyFont="1" applyBorder="1" applyAlignment="1">
      <alignment horizontal="right"/>
    </xf>
    <xf numFmtId="2" fontId="7" fillId="0" borderId="72" xfId="0" applyNumberFormat="1" applyFont="1" applyBorder="1" applyAlignment="1"/>
    <xf numFmtId="2" fontId="7" fillId="0" borderId="72" xfId="0" applyNumberFormat="1" applyFont="1" applyBorder="1" applyAlignment="1">
      <alignment horizontal="left"/>
    </xf>
    <xf numFmtId="2" fontId="7" fillId="24" borderId="72" xfId="0" applyNumberFormat="1" applyFont="1" applyFill="1" applyBorder="1" applyAlignment="1"/>
    <xf numFmtId="2" fontId="7" fillId="2" borderId="72" xfId="0" applyNumberFormat="1" applyFont="1" applyFill="1" applyBorder="1" applyAlignment="1">
      <alignment horizontal="right"/>
    </xf>
    <xf numFmtId="2" fontId="7" fillId="2" borderId="72" xfId="0" applyNumberFormat="1" applyFont="1" applyFill="1" applyBorder="1" applyAlignment="1"/>
    <xf numFmtId="2" fontId="7" fillId="2" borderId="72" xfId="0" applyNumberFormat="1" applyFont="1" applyFill="1" applyBorder="1" applyAlignment="1">
      <alignment horizontal="left"/>
    </xf>
    <xf numFmtId="2" fontId="7" fillId="25" borderId="72" xfId="0" applyNumberFormat="1" applyFont="1" applyFill="1" applyBorder="1" applyAlignment="1"/>
    <xf numFmtId="2" fontId="14" fillId="0" borderId="72" xfId="0" applyNumberFormat="1" applyFont="1" applyBorder="1" applyAlignment="1">
      <alignment horizontal="right"/>
    </xf>
    <xf numFmtId="2" fontId="14" fillId="0" borderId="72" xfId="0" applyNumberFormat="1" applyFont="1" applyBorder="1" applyAlignment="1"/>
    <xf numFmtId="2" fontId="109" fillId="19" borderId="72" xfId="0" applyNumberFormat="1" applyFont="1" applyFill="1" applyBorder="1" applyAlignment="1">
      <alignment horizontal="right"/>
    </xf>
    <xf numFmtId="2" fontId="57" fillId="7" borderId="72" xfId="0" applyNumberFormat="1" applyFont="1" applyFill="1" applyBorder="1" applyAlignment="1"/>
    <xf numFmtId="2" fontId="7" fillId="19" borderId="72" xfId="0" applyNumberFormat="1" applyFont="1" applyFill="1" applyBorder="1" applyAlignment="1">
      <alignment horizontal="left"/>
    </xf>
    <xf numFmtId="2" fontId="2" fillId="0" borderId="72" xfId="0" applyNumberFormat="1" applyFont="1" applyBorder="1" applyAlignment="1"/>
    <xf numFmtId="2" fontId="57" fillId="27" borderId="72" xfId="0" applyNumberFormat="1" applyFont="1" applyFill="1" applyBorder="1" applyAlignment="1"/>
    <xf numFmtId="2" fontId="5" fillId="19" borderId="72" xfId="0" applyNumberFormat="1" applyFont="1" applyFill="1" applyBorder="1" applyAlignment="1"/>
    <xf numFmtId="2" fontId="1" fillId="2" borderId="72" xfId="0" applyNumberFormat="1" applyFont="1" applyFill="1" applyBorder="1" applyAlignment="1">
      <alignment horizontal="right"/>
    </xf>
    <xf numFmtId="2" fontId="2" fillId="0" borderId="72" xfId="0" applyNumberFormat="1" applyFont="1" applyBorder="1" applyAlignment="1">
      <alignment horizontal="center"/>
    </xf>
    <xf numFmtId="2" fontId="1" fillId="25" borderId="72" xfId="0" applyNumberFormat="1" applyFont="1" applyFill="1" applyBorder="1" applyAlignment="1">
      <alignment horizontal="right"/>
    </xf>
    <xf numFmtId="2" fontId="5" fillId="19" borderId="72" xfId="0" applyNumberFormat="1" applyFont="1" applyFill="1" applyBorder="1" applyAlignment="1">
      <alignment horizontal="right"/>
    </xf>
    <xf numFmtId="2" fontId="3" fillId="2" borderId="72" xfId="0" applyNumberFormat="1" applyFont="1" applyFill="1" applyBorder="1" applyAlignment="1"/>
    <xf numFmtId="2" fontId="14" fillId="2" borderId="72" xfId="0" applyNumberFormat="1" applyFont="1" applyFill="1" applyBorder="1" applyAlignment="1">
      <alignment horizontal="right"/>
    </xf>
    <xf numFmtId="2" fontId="0" fillId="0" borderId="72" xfId="0" applyNumberFormat="1" applyFont="1" applyBorder="1" applyAlignment="1"/>
    <xf numFmtId="2" fontId="95" fillId="0" borderId="72" xfId="0" applyNumberFormat="1" applyFont="1" applyBorder="1" applyAlignment="1">
      <alignment horizontal="left"/>
    </xf>
    <xf numFmtId="2" fontId="14" fillId="24" borderId="72" xfId="0" applyNumberFormat="1" applyFont="1" applyFill="1" applyBorder="1" applyAlignment="1"/>
    <xf numFmtId="2" fontId="1" fillId="2" borderId="72" xfId="0" applyNumberFormat="1" applyFont="1" applyFill="1" applyBorder="1" applyAlignment="1"/>
    <xf numFmtId="2" fontId="7" fillId="24" borderId="72" xfId="0" applyNumberFormat="1" applyFont="1" applyFill="1" applyBorder="1" applyAlignment="1">
      <alignment horizontal="left"/>
    </xf>
    <xf numFmtId="2" fontId="7" fillId="25" borderId="72" xfId="0" applyNumberFormat="1" applyFont="1" applyFill="1" applyBorder="1" applyAlignment="1">
      <alignment horizontal="left"/>
    </xf>
    <xf numFmtId="2" fontId="7" fillId="0" borderId="72" xfId="0" applyNumberFormat="1" applyFont="1" applyBorder="1" applyAlignment="1">
      <alignment horizontal="center"/>
    </xf>
    <xf numFmtId="2" fontId="14" fillId="2" borderId="72" xfId="0" applyNumberFormat="1" applyFont="1" applyFill="1" applyBorder="1" applyAlignment="1"/>
    <xf numFmtId="2" fontId="14" fillId="25" borderId="72" xfId="0" applyNumberFormat="1" applyFont="1" applyFill="1" applyBorder="1" applyAlignment="1"/>
    <xf numFmtId="2" fontId="111" fillId="0" borderId="72" xfId="0" applyNumberFormat="1" applyFont="1" applyBorder="1" applyAlignment="1">
      <alignment horizontal="center"/>
    </xf>
    <xf numFmtId="2" fontId="90" fillId="0" borderId="72" xfId="0" applyNumberFormat="1" applyFont="1" applyBorder="1" applyAlignment="1">
      <alignment horizontal="center"/>
    </xf>
    <xf numFmtId="2" fontId="2" fillId="20" borderId="72" xfId="0" applyNumberFormat="1" applyFont="1" applyFill="1" applyBorder="1" applyAlignment="1"/>
    <xf numFmtId="2" fontId="72" fillId="21" borderId="72" xfId="0" applyNumberFormat="1" applyFont="1" applyFill="1" applyBorder="1" applyAlignment="1">
      <alignment horizontal="left"/>
    </xf>
    <xf numFmtId="2" fontId="79" fillId="0" borderId="72" xfId="0" applyNumberFormat="1" applyFont="1" applyBorder="1" applyAlignment="1"/>
    <xf numFmtId="2" fontId="79" fillId="24" borderId="72" xfId="0" applyNumberFormat="1" applyFont="1" applyFill="1" applyBorder="1" applyAlignment="1"/>
    <xf numFmtId="2" fontId="66" fillId="0" borderId="72" xfId="0" applyNumberFormat="1" applyFont="1" applyBorder="1" applyAlignment="1">
      <alignment horizontal="left"/>
    </xf>
    <xf numFmtId="2" fontId="74" fillId="0" borderId="72" xfId="0" applyNumberFormat="1" applyFont="1" applyBorder="1" applyAlignment="1">
      <alignment horizontal="right"/>
    </xf>
    <xf numFmtId="2" fontId="75" fillId="0" borderId="72" xfId="0" applyNumberFormat="1" applyFont="1" applyBorder="1" applyAlignment="1">
      <alignment horizontal="left"/>
    </xf>
    <xf numFmtId="2" fontId="1" fillId="0" borderId="72" xfId="0" applyNumberFormat="1" applyFont="1" applyBorder="1" applyAlignment="1">
      <alignment horizontal="right"/>
    </xf>
    <xf numFmtId="2" fontId="76" fillId="0" borderId="72" xfId="0" applyNumberFormat="1" applyFont="1" applyBorder="1" applyAlignment="1">
      <alignment horizontal="right"/>
    </xf>
    <xf numFmtId="2" fontId="77" fillId="0" borderId="72" xfId="0" applyNumberFormat="1" applyFont="1" applyBorder="1" applyAlignment="1">
      <alignment horizontal="left"/>
    </xf>
    <xf numFmtId="2" fontId="78" fillId="0" borderId="72" xfId="0" applyNumberFormat="1" applyFont="1" applyBorder="1" applyAlignment="1">
      <alignment horizontal="left"/>
    </xf>
    <xf numFmtId="2" fontId="79" fillId="18" borderId="72" xfId="0" applyNumberFormat="1" applyFont="1" applyFill="1" applyBorder="1" applyAlignment="1"/>
    <xf numFmtId="2" fontId="96" fillId="4" borderId="0" xfId="0" applyNumberFormat="1" applyFont="1" applyFill="1" applyAlignment="1"/>
    <xf numFmtId="2" fontId="7" fillId="3" borderId="21" xfId="0" applyNumberFormat="1" applyFont="1" applyFill="1" applyBorder="1" applyAlignment="1"/>
    <xf numFmtId="2" fontId="7" fillId="13" borderId="21" xfId="0" applyNumberFormat="1" applyFont="1" applyFill="1" applyBorder="1" applyAlignment="1"/>
    <xf numFmtId="2" fontId="7" fillId="13" borderId="0" xfId="0" applyNumberFormat="1" applyFont="1" applyFill="1" applyBorder="1" applyAlignment="1"/>
    <xf numFmtId="2" fontId="121" fillId="0" borderId="0" xfId="0" applyNumberFormat="1" applyFont="1" applyAlignment="1"/>
    <xf numFmtId="2" fontId="7" fillId="13" borderId="57" xfId="0" applyNumberFormat="1" applyFont="1" applyFill="1" applyBorder="1" applyAlignment="1"/>
    <xf numFmtId="2" fontId="99" fillId="0" borderId="0" xfId="0" applyNumberFormat="1" applyFont="1" applyAlignment="1"/>
    <xf numFmtId="1" fontId="105" fillId="5" borderId="51" xfId="0" applyNumberFormat="1" applyFont="1" applyFill="1" applyBorder="1"/>
    <xf numFmtId="1" fontId="105" fillId="2" borderId="63" xfId="0" applyNumberFormat="1" applyFont="1" applyFill="1" applyBorder="1"/>
    <xf numFmtId="1" fontId="105" fillId="5" borderId="63" xfId="0" applyNumberFormat="1" applyFont="1" applyFill="1" applyBorder="1"/>
    <xf numFmtId="1" fontId="7" fillId="0" borderId="47" xfId="0" applyNumberFormat="1" applyFont="1" applyBorder="1" applyAlignment="1">
      <alignment horizontal="left"/>
    </xf>
    <xf numFmtId="1" fontId="5" fillId="0" borderId="11" xfId="0" applyNumberFormat="1" applyFont="1" applyBorder="1" applyAlignment="1" applyProtection="1">
      <alignment horizontal="center"/>
      <protection locked="0"/>
    </xf>
    <xf numFmtId="1" fontId="5" fillId="0" borderId="8" xfId="0" applyNumberFormat="1" applyFont="1" applyBorder="1" applyAlignment="1" applyProtection="1">
      <alignment horizontal="center"/>
      <protection locked="0"/>
    </xf>
    <xf numFmtId="1" fontId="14" fillId="0" borderId="16" xfId="0" applyNumberFormat="1" applyFont="1" applyBorder="1" applyAlignment="1" applyProtection="1">
      <alignment horizontal="center"/>
      <protection locked="0"/>
    </xf>
    <xf numFmtId="1" fontId="5" fillId="0" borderId="52" xfId="0" applyNumberFormat="1" applyFont="1" applyBorder="1" applyAlignment="1" applyProtection="1">
      <alignment horizontal="center"/>
      <protection locked="0"/>
    </xf>
    <xf numFmtId="9" fontId="14" fillId="0" borderId="0" xfId="2" applyFont="1" applyAlignment="1">
      <alignment horizontal="center"/>
    </xf>
    <xf numFmtId="1" fontId="105" fillId="2" borderId="61" xfId="0" applyNumberFormat="1" applyFont="1" applyFill="1" applyBorder="1" applyAlignment="1">
      <alignment horizontal="right"/>
    </xf>
    <xf numFmtId="1" fontId="113" fillId="2" borderId="61" xfId="0" applyNumberFormat="1" applyFont="1" applyFill="1" applyBorder="1" applyAlignment="1">
      <alignment horizontal="right"/>
    </xf>
    <xf numFmtId="1" fontId="108" fillId="2" borderId="61" xfId="0" applyNumberFormat="1" applyFont="1" applyFill="1" applyBorder="1" applyAlignment="1"/>
    <xf numFmtId="1" fontId="109" fillId="5" borderId="61" xfId="0" applyNumberFormat="1" applyFont="1" applyFill="1" applyBorder="1" applyAlignment="1"/>
    <xf numFmtId="1" fontId="105" fillId="2" borderId="61" xfId="0" applyNumberFormat="1" applyFont="1" applyFill="1" applyBorder="1" applyAlignment="1"/>
    <xf numFmtId="1" fontId="105" fillId="5" borderId="61" xfId="0" applyNumberFormat="1" applyFont="1" applyFill="1" applyBorder="1" applyAlignment="1"/>
    <xf numFmtId="1" fontId="0" fillId="2" borderId="61" xfId="0" applyNumberFormat="1" applyFill="1" applyBorder="1"/>
    <xf numFmtId="1" fontId="107" fillId="5" borderId="61" xfId="0" applyNumberFormat="1" applyFont="1" applyFill="1" applyBorder="1" applyAlignment="1"/>
    <xf numFmtId="1" fontId="1" fillId="0" borderId="31" xfId="0" applyNumberFormat="1" applyFont="1" applyBorder="1" applyAlignment="1"/>
    <xf numFmtId="1" fontId="105" fillId="5" borderId="61" xfId="0" applyNumberFormat="1" applyFont="1" applyFill="1" applyBorder="1" applyAlignment="1">
      <alignment horizontal="right"/>
    </xf>
    <xf numFmtId="1" fontId="105" fillId="19" borderId="61" xfId="0" applyNumberFormat="1" applyFont="1" applyFill="1" applyBorder="1" applyAlignment="1">
      <alignment horizontal="right"/>
    </xf>
    <xf numFmtId="1" fontId="107" fillId="2" borderId="61" xfId="0" applyNumberFormat="1" applyFont="1" applyFill="1" applyBorder="1" applyAlignment="1">
      <alignment horizontal="right"/>
    </xf>
    <xf numFmtId="1" fontId="107" fillId="5" borderId="61" xfId="0" applyNumberFormat="1" applyFont="1" applyFill="1" applyBorder="1" applyAlignment="1">
      <alignment horizontal="right"/>
    </xf>
    <xf numFmtId="1" fontId="105" fillId="5" borderId="61" xfId="0" applyNumberFormat="1" applyFont="1" applyFill="1" applyBorder="1" applyAlignment="1">
      <alignment horizontal="center"/>
    </xf>
    <xf numFmtId="1" fontId="105" fillId="2" borderId="64" xfId="0" applyNumberFormat="1" applyFont="1" applyFill="1" applyBorder="1" applyAlignment="1">
      <alignment horizontal="center"/>
    </xf>
    <xf numFmtId="1" fontId="14" fillId="18" borderId="17" xfId="0" applyNumberFormat="1" applyFont="1" applyFill="1" applyBorder="1" applyAlignment="1">
      <alignment horizontal="center"/>
    </xf>
    <xf numFmtId="1" fontId="5" fillId="18" borderId="58" xfId="0" applyNumberFormat="1" applyFont="1" applyFill="1" applyBorder="1" applyAlignment="1" applyProtection="1">
      <alignment horizontal="center"/>
      <protection locked="0"/>
    </xf>
    <xf numFmtId="1" fontId="106" fillId="5" borderId="61" xfId="0" applyNumberFormat="1" applyFont="1" applyFill="1" applyBorder="1" applyAlignment="1">
      <alignment horizontal="right"/>
    </xf>
    <xf numFmtId="1" fontId="0" fillId="5" borderId="61" xfId="0" applyNumberFormat="1" applyFill="1" applyBorder="1"/>
    <xf numFmtId="1" fontId="107" fillId="2" borderId="61" xfId="0" applyNumberFormat="1" applyFont="1" applyFill="1" applyBorder="1" applyAlignment="1"/>
    <xf numFmtId="1" fontId="105" fillId="2" borderId="61" xfId="0" applyNumberFormat="1" applyFont="1" applyFill="1" applyBorder="1" applyAlignment="1">
      <alignment horizontal="center"/>
    </xf>
    <xf numFmtId="10" fontId="107" fillId="17" borderId="40" xfId="2" applyNumberFormat="1" applyFont="1" applyFill="1" applyBorder="1" applyAlignment="1">
      <alignment horizontal="left"/>
    </xf>
    <xf numFmtId="10" fontId="107" fillId="16" borderId="36" xfId="2" applyNumberFormat="1" applyFont="1" applyFill="1" applyBorder="1" applyAlignment="1">
      <alignment horizontal="left"/>
    </xf>
    <xf numFmtId="10" fontId="72" fillId="22" borderId="71" xfId="2" applyNumberFormat="1" applyFont="1" applyFill="1" applyBorder="1" applyAlignment="1">
      <alignment horizontal="right"/>
    </xf>
    <xf numFmtId="10" fontId="72" fillId="21" borderId="71" xfId="2" applyNumberFormat="1" applyFont="1" applyFill="1" applyBorder="1" applyAlignment="1">
      <alignment horizontal="right"/>
    </xf>
    <xf numFmtId="10" fontId="7" fillId="17" borderId="40" xfId="2" applyNumberFormat="1" applyFont="1" applyFill="1" applyBorder="1" applyAlignment="1">
      <alignment horizontal="left"/>
    </xf>
    <xf numFmtId="10" fontId="7" fillId="16" borderId="36" xfId="2" applyNumberFormat="1" applyFont="1" applyFill="1" applyBorder="1" applyAlignment="1">
      <alignment horizontal="left"/>
    </xf>
    <xf numFmtId="10" fontId="72" fillId="21" borderId="72" xfId="2" applyNumberFormat="1" applyFont="1" applyFill="1" applyBorder="1" applyAlignment="1">
      <alignment horizontal="right"/>
    </xf>
    <xf numFmtId="1" fontId="42" fillId="0" borderId="28" xfId="0" applyNumberFormat="1" applyFont="1" applyBorder="1" applyAlignment="1" applyProtection="1">
      <alignment horizontal="right"/>
      <protection locked="0"/>
    </xf>
    <xf numFmtId="1" fontId="1" fillId="0" borderId="6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2" xfId="0" applyNumberFormat="1" applyFont="1" applyBorder="1" applyAlignment="1">
      <alignment horizontal="right"/>
    </xf>
    <xf numFmtId="9" fontId="110" fillId="5" borderId="61" xfId="0" applyNumberFormat="1" applyFont="1" applyFill="1" applyBorder="1" applyAlignment="1" applyProtection="1">
      <protection locked="0"/>
    </xf>
    <xf numFmtId="1" fontId="110" fillId="5" borderId="61" xfId="0" applyNumberFormat="1" applyFont="1" applyFill="1" applyBorder="1" applyAlignment="1" applyProtection="1">
      <protection locked="0"/>
    </xf>
    <xf numFmtId="1" fontId="110" fillId="2" borderId="61" xfId="0" applyNumberFormat="1" applyFont="1" applyFill="1" applyBorder="1" applyAlignment="1" applyProtection="1">
      <protection locked="0"/>
    </xf>
    <xf numFmtId="1" fontId="5" fillId="0" borderId="71" xfId="0" applyNumberFormat="1" applyFont="1" applyBorder="1" applyAlignment="1">
      <alignment horizontal="right"/>
    </xf>
    <xf numFmtId="9" fontId="5" fillId="0" borderId="71" xfId="2" applyFont="1" applyBorder="1" applyAlignment="1">
      <alignment horizontal="right"/>
    </xf>
    <xf numFmtId="9" fontId="110" fillId="5" borderId="61" xfId="2" applyNumberFormat="1" applyFont="1" applyFill="1" applyBorder="1" applyAlignment="1" applyProtection="1">
      <alignment horizontal="right"/>
      <protection locked="0"/>
    </xf>
    <xf numFmtId="9" fontId="128" fillId="5" borderId="61" xfId="2" applyNumberFormat="1" applyFont="1" applyFill="1" applyBorder="1" applyAlignment="1" applyProtection="1">
      <alignment horizontal="right"/>
      <protection locked="0"/>
    </xf>
    <xf numFmtId="9" fontId="128" fillId="2" borderId="64" xfId="2" applyNumberFormat="1" applyFont="1" applyFill="1" applyBorder="1" applyAlignment="1" applyProtection="1">
      <alignment horizontal="right"/>
      <protection locked="0"/>
    </xf>
    <xf numFmtId="1" fontId="4" fillId="19" borderId="71" xfId="0" applyNumberFormat="1" applyFont="1" applyFill="1" applyBorder="1" applyAlignment="1">
      <alignment horizontal="right"/>
    </xf>
    <xf numFmtId="9" fontId="109" fillId="19" borderId="71" xfId="2" applyFont="1" applyFill="1" applyBorder="1" applyAlignment="1">
      <alignment horizontal="right"/>
    </xf>
    <xf numFmtId="9" fontId="128" fillId="2" borderId="61" xfId="2" applyNumberFormat="1" applyFont="1" applyFill="1" applyBorder="1" applyAlignment="1" applyProtection="1">
      <alignment horizontal="right"/>
      <protection locked="0"/>
    </xf>
    <xf numFmtId="9" fontId="5" fillId="19" borderId="72" xfId="2" applyFont="1" applyFill="1" applyBorder="1" applyAlignment="1">
      <alignment horizontal="right"/>
    </xf>
    <xf numFmtId="9" fontId="14" fillId="0" borderId="1" xfId="2" applyFont="1" applyBorder="1" applyAlignment="1">
      <alignment horizontal="center"/>
    </xf>
    <xf numFmtId="2" fontId="1" fillId="0" borderId="6" xfId="0" applyNumberFormat="1" applyFont="1" applyBorder="1" applyAlignment="1">
      <alignment horizontal="right"/>
    </xf>
    <xf numFmtId="2" fontId="7" fillId="0" borderId="0" xfId="0" applyNumberFormat="1" applyFont="1" applyFill="1" applyAlignment="1"/>
    <xf numFmtId="2" fontId="119" fillId="30" borderId="0" xfId="0" applyNumberFormat="1" applyFont="1" applyFill="1" applyAlignment="1"/>
    <xf numFmtId="4" fontId="133" fillId="0" borderId="30" xfId="0" applyNumberFormat="1" applyFont="1" applyBorder="1" applyAlignment="1"/>
    <xf numFmtId="2" fontId="109" fillId="5" borderId="61" xfId="0" applyNumberFormat="1" applyFont="1" applyFill="1" applyBorder="1" applyProtection="1">
      <protection locked="0"/>
    </xf>
    <xf numFmtId="2" fontId="109" fillId="2" borderId="61" xfId="0" applyNumberFormat="1" applyFont="1" applyFill="1" applyBorder="1" applyProtection="1">
      <protection locked="0"/>
    </xf>
    <xf numFmtId="2" fontId="110" fillId="2" borderId="61" xfId="0" applyNumberFormat="1" applyFont="1" applyFill="1" applyBorder="1" applyAlignment="1" applyProtection="1">
      <alignment horizontal="right"/>
      <protection locked="0"/>
    </xf>
    <xf numFmtId="2" fontId="110" fillId="5" borderId="61" xfId="0" applyNumberFormat="1" applyFont="1" applyFill="1" applyBorder="1" applyAlignment="1" applyProtection="1">
      <alignment horizontal="left"/>
      <protection locked="0"/>
    </xf>
    <xf numFmtId="2" fontId="79" fillId="0" borderId="0" xfId="0" applyNumberFormat="1" applyFont="1" applyAlignment="1" applyProtection="1">
      <protection locked="0"/>
    </xf>
    <xf numFmtId="2" fontId="7" fillId="0" borderId="31" xfId="0" applyNumberFormat="1" applyFont="1" applyBorder="1" applyAlignment="1" applyProtection="1">
      <alignment horizontal="left"/>
      <protection locked="0"/>
    </xf>
    <xf numFmtId="2" fontId="109" fillId="2" borderId="61" xfId="0" applyNumberFormat="1" applyFont="1" applyFill="1" applyBorder="1" applyAlignment="1" applyProtection="1">
      <protection locked="0"/>
    </xf>
    <xf numFmtId="2" fontId="7" fillId="0" borderId="6" xfId="0" applyNumberFormat="1" applyFont="1" applyBorder="1" applyAlignment="1" applyProtection="1">
      <alignment horizontal="left"/>
      <protection locked="0"/>
    </xf>
    <xf numFmtId="1" fontId="14" fillId="19" borderId="61" xfId="0" applyNumberFormat="1" applyFont="1" applyFill="1" applyBorder="1" applyAlignment="1" applyProtection="1">
      <alignment horizontal="right"/>
    </xf>
    <xf numFmtId="2" fontId="0" fillId="0" borderId="0" xfId="0" applyNumberFormat="1" applyFont="1" applyAlignment="1"/>
    <xf numFmtId="2" fontId="126" fillId="0" borderId="0" xfId="0" applyNumberFormat="1" applyFont="1" applyAlignment="1"/>
    <xf numFmtId="2" fontId="134" fillId="0" borderId="0" xfId="0" applyNumberFormat="1" applyFont="1" applyAlignment="1" applyProtection="1">
      <protection locked="0"/>
    </xf>
    <xf numFmtId="2" fontId="11" fillId="0" borderId="16" xfId="0" applyNumberFormat="1" applyFont="1" applyBorder="1" applyAlignment="1">
      <alignment horizontal="right"/>
    </xf>
    <xf numFmtId="2" fontId="132" fillId="0" borderId="0" xfId="0" applyNumberFormat="1" applyFont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2" fontId="7" fillId="4" borderId="5" xfId="0" applyNumberFormat="1" applyFont="1" applyFill="1" applyBorder="1" applyAlignment="1">
      <alignment horizontal="right"/>
    </xf>
    <xf numFmtId="2" fontId="7" fillId="4" borderId="2" xfId="0" applyNumberFormat="1" applyFont="1" applyFill="1" applyBorder="1" applyAlignment="1">
      <alignment horizontal="right"/>
    </xf>
    <xf numFmtId="2" fontId="42" fillId="0" borderId="5" xfId="0" applyNumberFormat="1" applyFont="1" applyBorder="1" applyAlignment="1">
      <alignment horizontal="right"/>
    </xf>
    <xf numFmtId="2" fontId="42" fillId="0" borderId="2" xfId="0" applyNumberFormat="1" applyFont="1" applyBorder="1" applyAlignment="1">
      <alignment horizontal="right"/>
    </xf>
    <xf numFmtId="2" fontId="63" fillId="0" borderId="5" xfId="0" applyNumberFormat="1" applyFont="1" applyBorder="1" applyAlignment="1">
      <alignment horizontal="right"/>
    </xf>
    <xf numFmtId="2" fontId="63" fillId="0" borderId="2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63" fillId="4" borderId="2" xfId="0" applyNumberFormat="1" applyFont="1" applyFill="1" applyBorder="1" applyAlignment="1">
      <alignment horizontal="right"/>
    </xf>
    <xf numFmtId="1" fontId="42" fillId="3" borderId="0" xfId="0" applyNumberFormat="1" applyFont="1" applyFill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2" fontId="14" fillId="0" borderId="0" xfId="0" applyNumberFormat="1" applyFont="1" applyFill="1" applyAlignment="1"/>
    <xf numFmtId="10" fontId="105" fillId="5" borderId="61" xfId="0" applyNumberFormat="1" applyFont="1" applyFill="1" applyBorder="1" applyAlignment="1">
      <alignment horizontal="right"/>
    </xf>
    <xf numFmtId="10" fontId="105" fillId="2" borderId="61" xfId="0" applyNumberFormat="1" applyFont="1" applyFill="1" applyBorder="1" applyAlignment="1">
      <alignment horizontal="right"/>
    </xf>
    <xf numFmtId="1" fontId="2" fillId="19" borderId="61" xfId="0" applyNumberFormat="1" applyFont="1" applyFill="1" applyBorder="1" applyAlignment="1" applyProtection="1">
      <alignment horizontal="right"/>
    </xf>
    <xf numFmtId="9" fontId="105" fillId="5" borderId="61" xfId="2" applyFont="1" applyFill="1" applyBorder="1" applyAlignment="1">
      <alignment horizontal="right"/>
    </xf>
    <xf numFmtId="10" fontId="7" fillId="2" borderId="71" xfId="0" applyNumberFormat="1" applyFont="1" applyFill="1" applyBorder="1" applyAlignment="1">
      <alignment horizontal="right"/>
    </xf>
    <xf numFmtId="9" fontId="7" fillId="2" borderId="71" xfId="2" applyFont="1" applyFill="1" applyBorder="1" applyAlignment="1">
      <alignment horizontal="right"/>
    </xf>
    <xf numFmtId="10" fontId="7" fillId="0" borderId="72" xfId="0" applyNumberFormat="1" applyFont="1" applyBorder="1" applyAlignment="1">
      <alignment horizontal="right"/>
    </xf>
    <xf numFmtId="9" fontId="7" fillId="0" borderId="72" xfId="2" applyFont="1" applyBorder="1" applyAlignment="1">
      <alignment horizontal="right"/>
    </xf>
    <xf numFmtId="2" fontId="0" fillId="0" borderId="0" xfId="0" applyNumberFormat="1" applyFont="1" applyAlignment="1"/>
    <xf numFmtId="164" fontId="7" fillId="0" borderId="0" xfId="2" applyNumberFormat="1" applyFont="1" applyAlignment="1"/>
    <xf numFmtId="164" fontId="2" fillId="0" borderId="0" xfId="2" applyNumberFormat="1" applyFont="1"/>
    <xf numFmtId="0" fontId="18" fillId="4" borderId="17" xfId="0" applyFont="1" applyFill="1" applyBorder="1" applyAlignment="1"/>
    <xf numFmtId="1" fontId="7" fillId="0" borderId="16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63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2" fontId="135" fillId="31" borderId="0" xfId="0" applyNumberFormat="1" applyFont="1" applyFill="1" applyAlignment="1"/>
    <xf numFmtId="1" fontId="2" fillId="31" borderId="0" xfId="0" applyNumberFormat="1" applyFont="1" applyFill="1" applyBorder="1" applyAlignment="1" applyProtection="1"/>
    <xf numFmtId="1" fontId="7" fillId="32" borderId="63" xfId="0" applyNumberFormat="1" applyFont="1" applyFill="1" applyBorder="1"/>
    <xf numFmtId="2" fontId="105" fillId="32" borderId="61" xfId="0" applyNumberFormat="1" applyFont="1" applyFill="1" applyBorder="1"/>
    <xf numFmtId="2" fontId="7" fillId="32" borderId="61" xfId="0" applyNumberFormat="1" applyFont="1" applyFill="1" applyBorder="1"/>
    <xf numFmtId="2" fontId="105" fillId="33" borderId="62" xfId="0" applyNumberFormat="1" applyFont="1" applyFill="1" applyBorder="1"/>
    <xf numFmtId="1" fontId="7" fillId="0" borderId="71" xfId="0" applyNumberFormat="1" applyFont="1" applyBorder="1" applyAlignment="1">
      <alignment horizontal="center"/>
    </xf>
    <xf numFmtId="1" fontId="7" fillId="2" borderId="71" xfId="0" applyNumberFormat="1" applyFont="1" applyFill="1" applyBorder="1" applyAlignment="1">
      <alignment horizontal="center"/>
    </xf>
    <xf numFmtId="1" fontId="39" fillId="0" borderId="71" xfId="0" applyNumberFormat="1" applyFont="1" applyBorder="1" applyAlignment="1">
      <alignment horizontal="center"/>
    </xf>
    <xf numFmtId="1" fontId="7" fillId="19" borderId="71" xfId="0" applyNumberFormat="1" applyFont="1" applyFill="1" applyBorder="1" applyAlignment="1">
      <alignment horizontal="center"/>
    </xf>
    <xf numFmtId="2" fontId="53" fillId="32" borderId="71" xfId="0" applyNumberFormat="1" applyFont="1" applyFill="1" applyBorder="1" applyAlignment="1">
      <alignment horizontal="left"/>
    </xf>
    <xf numFmtId="2" fontId="54" fillId="33" borderId="71" xfId="0" applyNumberFormat="1" applyFont="1" applyFill="1" applyBorder="1" applyAlignment="1">
      <alignment horizontal="left"/>
    </xf>
    <xf numFmtId="2" fontId="7" fillId="33" borderId="71" xfId="0" applyNumberFormat="1" applyFont="1" applyFill="1" applyBorder="1" applyAlignment="1">
      <alignment horizontal="left"/>
    </xf>
    <xf numFmtId="2" fontId="55" fillId="34" borderId="71" xfId="0" applyNumberFormat="1" applyFont="1" applyFill="1" applyBorder="1" applyAlignment="1">
      <alignment horizontal="left"/>
    </xf>
    <xf numFmtId="2" fontId="104" fillId="0" borderId="0" xfId="1" applyNumberFormat="1" applyAlignment="1"/>
    <xf numFmtId="1" fontId="14" fillId="4" borderId="0" xfId="0" applyNumberFormat="1" applyFont="1" applyFill="1" applyAlignment="1">
      <alignment horizontal="right"/>
    </xf>
    <xf numFmtId="1" fontId="14" fillId="4" borderId="0" xfId="0" applyNumberFormat="1" applyFont="1" applyFill="1" applyAlignment="1"/>
    <xf numFmtId="2" fontId="48" fillId="0" borderId="0" xfId="0" applyNumberFormat="1" applyFont="1" applyAlignment="1"/>
    <xf numFmtId="2" fontId="121" fillId="0" borderId="0" xfId="0" applyNumberFormat="1" applyFont="1" applyAlignment="1"/>
    <xf numFmtId="166" fontId="7" fillId="0" borderId="0" xfId="0" applyNumberFormat="1" applyFont="1" applyAlignment="1">
      <alignment horizontal="right"/>
    </xf>
    <xf numFmtId="166" fontId="7" fillId="0" borderId="0" xfId="2" applyNumberFormat="1" applyFont="1" applyAlignment="1"/>
    <xf numFmtId="2" fontId="7" fillId="24" borderId="62" xfId="0" applyNumberFormat="1" applyFont="1" applyFill="1" applyBorder="1"/>
    <xf numFmtId="2" fontId="7" fillId="3" borderId="62" xfId="0" applyNumberFormat="1" applyFont="1" applyFill="1" applyBorder="1"/>
    <xf numFmtId="2" fontId="115" fillId="0" borderId="0" xfId="0" applyNumberFormat="1" applyFont="1" applyAlignment="1"/>
    <xf numFmtId="2" fontId="57" fillId="0" borderId="0" xfId="0" applyNumberFormat="1" applyFont="1" applyAlignment="1"/>
    <xf numFmtId="2" fontId="137" fillId="0" borderId="0" xfId="0" applyNumberFormat="1" applyFont="1" applyAlignment="1"/>
    <xf numFmtId="4" fontId="14" fillId="0" borderId="31" xfId="0" applyNumberFormat="1" applyFont="1" applyBorder="1"/>
    <xf numFmtId="4" fontId="14" fillId="0" borderId="31" xfId="0" applyNumberFormat="1" applyFont="1" applyBorder="1" applyAlignment="1">
      <alignment horizontal="left"/>
    </xf>
    <xf numFmtId="4" fontId="14" fillId="16" borderId="34" xfId="0" applyNumberFormat="1" applyFont="1" applyFill="1" applyBorder="1" applyAlignment="1">
      <alignment horizontal="left"/>
    </xf>
    <xf numFmtId="4" fontId="14" fillId="17" borderId="38" xfId="0" applyNumberFormat="1" applyFont="1" applyFill="1" applyBorder="1" applyAlignment="1">
      <alignment horizontal="left"/>
    </xf>
    <xf numFmtId="9" fontId="105" fillId="2" borderId="61" xfId="2" applyFont="1" applyFill="1" applyBorder="1"/>
    <xf numFmtId="9" fontId="105" fillId="2" borderId="61" xfId="2" applyFont="1" applyFill="1" applyBorder="1" applyAlignment="1">
      <alignment horizontal="right"/>
    </xf>
    <xf numFmtId="9" fontId="105" fillId="5" borderId="61" xfId="2" applyFont="1" applyFill="1" applyBorder="1"/>
    <xf numFmtId="2" fontId="14" fillId="4" borderId="79" xfId="0" applyNumberFormat="1" applyFont="1" applyFill="1" applyBorder="1" applyAlignment="1">
      <alignment horizontal="right"/>
    </xf>
    <xf numFmtId="1" fontId="3" fillId="0" borderId="82" xfId="0" applyNumberFormat="1" applyFont="1" applyBorder="1" applyAlignment="1" applyProtection="1">
      <alignment horizontal="center"/>
      <protection locked="0"/>
    </xf>
    <xf numFmtId="1" fontId="115" fillId="0" borderId="84" xfId="0" applyNumberFormat="1" applyFont="1" applyBorder="1" applyAlignment="1" applyProtection="1">
      <alignment horizontal="center"/>
      <protection locked="0"/>
    </xf>
    <xf numFmtId="2" fontId="7" fillId="0" borderId="85" xfId="0" applyNumberFormat="1" applyFont="1" applyBorder="1" applyAlignment="1"/>
    <xf numFmtId="2" fontId="7" fillId="0" borderId="0" xfId="0" applyNumberFormat="1" applyFont="1" applyBorder="1" applyAlignment="1"/>
    <xf numFmtId="9" fontId="14" fillId="0" borderId="86" xfId="2" applyFont="1" applyBorder="1" applyAlignment="1">
      <alignment horizontal="center"/>
    </xf>
    <xf numFmtId="2" fontId="138" fillId="15" borderId="88" xfId="0" applyNumberFormat="1" applyFont="1" applyFill="1" applyBorder="1" applyAlignment="1"/>
    <xf numFmtId="2" fontId="50" fillId="15" borderId="89" xfId="0" applyNumberFormat="1" applyFont="1" applyFill="1" applyBorder="1" applyAlignment="1"/>
    <xf numFmtId="1" fontId="136" fillId="15" borderId="90" xfId="0" applyNumberFormat="1" applyFont="1" applyFill="1" applyBorder="1" applyAlignment="1" applyProtection="1">
      <protection locked="0"/>
    </xf>
    <xf numFmtId="1" fontId="105" fillId="2" borderId="61" xfId="0" applyNumberFormat="1" applyFont="1" applyFill="1" applyBorder="1"/>
    <xf numFmtId="9" fontId="5" fillId="5" borderId="61" xfId="0" applyNumberFormat="1" applyFont="1" applyFill="1" applyBorder="1" applyAlignment="1" applyProtection="1">
      <protection locked="0"/>
    </xf>
    <xf numFmtId="2" fontId="7" fillId="16" borderId="91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 applyProtection="1">
      <protection locked="0"/>
    </xf>
    <xf numFmtId="2" fontId="14" fillId="0" borderId="0" xfId="0" applyNumberFormat="1" applyFont="1" applyFill="1" applyBorder="1" applyAlignment="1">
      <alignment horizontal="center"/>
    </xf>
    <xf numFmtId="2" fontId="88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/>
    <xf numFmtId="2" fontId="7" fillId="16" borderId="92" xfId="0" applyNumberFormat="1" applyFont="1" applyFill="1" applyBorder="1" applyAlignment="1">
      <alignment horizontal="left"/>
    </xf>
    <xf numFmtId="2" fontId="7" fillId="0" borderId="93" xfId="0" applyNumberFormat="1" applyFont="1" applyBorder="1" applyAlignment="1">
      <alignment horizontal="left"/>
    </xf>
    <xf numFmtId="2" fontId="7" fillId="17" borderId="94" xfId="0" applyNumberFormat="1" applyFont="1" applyFill="1" applyBorder="1" applyAlignment="1">
      <alignment horizontal="left"/>
    </xf>
    <xf numFmtId="2" fontId="7" fillId="17" borderId="95" xfId="0" applyNumberFormat="1" applyFont="1" applyFill="1" applyBorder="1" applyAlignment="1">
      <alignment horizontal="left"/>
    </xf>
    <xf numFmtId="2" fontId="7" fillId="18" borderId="96" xfId="0" applyNumberFormat="1" applyFont="1" applyFill="1" applyBorder="1" applyAlignment="1">
      <alignment horizontal="left"/>
    </xf>
    <xf numFmtId="2" fontId="139" fillId="5" borderId="1" xfId="0" applyNumberFormat="1" applyFont="1" applyFill="1" applyBorder="1" applyAlignment="1">
      <alignment horizontal="left"/>
    </xf>
    <xf numFmtId="2" fontId="140" fillId="5" borderId="1" xfId="0" applyNumberFormat="1" applyFont="1" applyFill="1" applyBorder="1" applyAlignment="1">
      <alignment horizontal="left"/>
    </xf>
    <xf numFmtId="2" fontId="141" fillId="0" borderId="0" xfId="0" applyNumberFormat="1" applyFont="1" applyAlignment="1"/>
    <xf numFmtId="166" fontId="7" fillId="0" borderId="0" xfId="0" applyNumberFormat="1" applyFont="1" applyAlignment="1"/>
    <xf numFmtId="166" fontId="89" fillId="15" borderId="0" xfId="0" applyNumberFormat="1" applyFont="1" applyFill="1" applyAlignment="1"/>
    <xf numFmtId="167" fontId="2" fillId="0" borderId="72" xfId="0" applyNumberFormat="1" applyFont="1" applyBorder="1" applyAlignment="1"/>
    <xf numFmtId="167" fontId="7" fillId="2" borderId="71" xfId="0" applyNumberFormat="1" applyFont="1" applyFill="1" applyBorder="1" applyAlignment="1"/>
    <xf numFmtId="9" fontId="14" fillId="0" borderId="0" xfId="2" applyFont="1" applyBorder="1" applyAlignment="1">
      <alignment horizontal="center"/>
    </xf>
    <xf numFmtId="165" fontId="49" fillId="0" borderId="0" xfId="0" applyNumberFormat="1" applyFont="1" applyBorder="1" applyAlignment="1">
      <alignment horizontal="right"/>
    </xf>
    <xf numFmtId="166" fontId="7" fillId="0" borderId="71" xfId="0" applyNumberFormat="1" applyFont="1" applyBorder="1" applyAlignment="1">
      <alignment horizontal="left"/>
    </xf>
    <xf numFmtId="166" fontId="7" fillId="0" borderId="71" xfId="0" applyNumberFormat="1" applyFont="1" applyBorder="1" applyAlignment="1"/>
    <xf numFmtId="4" fontId="107" fillId="18" borderId="42" xfId="0" applyNumberFormat="1" applyFont="1" applyFill="1" applyBorder="1" applyAlignment="1">
      <alignment horizontal="left"/>
    </xf>
    <xf numFmtId="10" fontId="107" fillId="18" borderId="44" xfId="2" applyNumberFormat="1" applyFont="1" applyFill="1" applyBorder="1" applyAlignment="1">
      <alignment horizontal="left"/>
    </xf>
    <xf numFmtId="1" fontId="5" fillId="18" borderId="97" xfId="0" applyNumberFormat="1" applyFont="1" applyFill="1" applyBorder="1" applyAlignment="1" applyProtection="1">
      <alignment horizontal="center"/>
      <protection locked="0"/>
    </xf>
    <xf numFmtId="4" fontId="133" fillId="0" borderId="98" xfId="0" applyNumberFormat="1" applyFont="1" applyBorder="1" applyAlignment="1"/>
    <xf numFmtId="1" fontId="7" fillId="0" borderId="72" xfId="0" applyNumberFormat="1" applyFont="1" applyBorder="1" applyAlignment="1">
      <alignment horizontal="right"/>
    </xf>
    <xf numFmtId="1" fontId="7" fillId="2" borderId="72" xfId="0" applyNumberFormat="1" applyFont="1" applyFill="1" applyBorder="1" applyAlignment="1">
      <alignment horizontal="right"/>
    </xf>
    <xf numFmtId="1" fontId="7" fillId="19" borderId="72" xfId="0" applyNumberFormat="1" applyFont="1" applyFill="1" applyBorder="1" applyAlignment="1">
      <alignment horizontal="right"/>
    </xf>
    <xf numFmtId="1" fontId="1" fillId="2" borderId="72" xfId="0" applyNumberFormat="1" applyFont="1" applyFill="1" applyBorder="1" applyAlignment="1">
      <alignment horizontal="right"/>
    </xf>
    <xf numFmtId="1" fontId="7" fillId="2" borderId="72" xfId="0" applyNumberFormat="1" applyFont="1" applyFill="1" applyBorder="1" applyAlignment="1">
      <alignment horizontal="center"/>
    </xf>
    <xf numFmtId="1" fontId="7" fillId="0" borderId="72" xfId="0" applyNumberFormat="1" applyFont="1" applyBorder="1" applyAlignment="1">
      <alignment horizontal="center"/>
    </xf>
    <xf numFmtId="166" fontId="114" fillId="0" borderId="71" xfId="0" applyNumberFormat="1" applyFont="1" applyBorder="1" applyAlignment="1">
      <alignment horizontal="left"/>
    </xf>
    <xf numFmtId="166" fontId="63" fillId="0" borderId="72" xfId="0" applyNumberFormat="1" applyFont="1" applyBorder="1" applyAlignment="1">
      <alignment horizontal="left"/>
    </xf>
    <xf numFmtId="2" fontId="7" fillId="0" borderId="28" xfId="0" applyNumberFormat="1" applyFont="1" applyBorder="1" applyAlignment="1">
      <alignment horizontal="right"/>
    </xf>
    <xf numFmtId="2" fontId="1" fillId="0" borderId="28" xfId="0" applyNumberFormat="1" applyFont="1" applyBorder="1" applyAlignment="1">
      <alignment horizontal="right"/>
    </xf>
    <xf numFmtId="9" fontId="7" fillId="35" borderId="75" xfId="2" applyFont="1" applyFill="1" applyBorder="1" applyAlignment="1" applyProtection="1">
      <protection locked="0"/>
    </xf>
    <xf numFmtId="17" fontId="7" fillId="35" borderId="76" xfId="0" applyNumberFormat="1" applyFont="1" applyFill="1" applyBorder="1" applyAlignment="1" applyProtection="1">
      <protection locked="0"/>
    </xf>
    <xf numFmtId="17" fontId="7" fillId="35" borderId="73" xfId="0" applyNumberFormat="1" applyFont="1" applyFill="1" applyBorder="1" applyAlignment="1" applyProtection="1">
      <protection locked="0"/>
    </xf>
    <xf numFmtId="3" fontId="7" fillId="35" borderId="76" xfId="0" applyNumberFormat="1" applyFont="1" applyFill="1" applyBorder="1" applyAlignment="1" applyProtection="1">
      <protection locked="0"/>
    </xf>
    <xf numFmtId="3" fontId="7" fillId="35" borderId="73" xfId="0" applyNumberFormat="1" applyFont="1" applyFill="1" applyBorder="1" applyAlignment="1" applyProtection="1">
      <protection locked="0"/>
    </xf>
    <xf numFmtId="3" fontId="7" fillId="35" borderId="73" xfId="2" applyNumberFormat="1" applyFont="1" applyFill="1" applyBorder="1" applyAlignment="1" applyProtection="1">
      <protection locked="0"/>
    </xf>
    <xf numFmtId="10" fontId="7" fillId="35" borderId="78" xfId="2" applyNumberFormat="1" applyFont="1" applyFill="1" applyBorder="1" applyAlignment="1" applyProtection="1">
      <protection locked="0"/>
    </xf>
    <xf numFmtId="1" fontId="143" fillId="35" borderId="74" xfId="0" applyNumberFormat="1" applyFont="1" applyFill="1" applyBorder="1" applyAlignment="1" applyProtection="1">
      <protection locked="0"/>
    </xf>
    <xf numFmtId="3" fontId="17" fillId="35" borderId="76" xfId="0" applyNumberFormat="1" applyFont="1" applyFill="1" applyBorder="1" applyAlignment="1" applyProtection="1">
      <protection locked="0"/>
    </xf>
    <xf numFmtId="2" fontId="17" fillId="35" borderId="77" xfId="0" applyNumberFormat="1" applyFont="1" applyFill="1" applyBorder="1" applyAlignment="1" applyProtection="1">
      <protection locked="0"/>
    </xf>
    <xf numFmtId="1" fontId="105" fillId="0" borderId="61" xfId="0" applyNumberFormat="1" applyFont="1" applyFill="1" applyBorder="1" applyAlignment="1">
      <alignment horizontal="right"/>
    </xf>
    <xf numFmtId="1" fontId="106" fillId="0" borderId="61" xfId="0" applyNumberFormat="1" applyFont="1" applyFill="1" applyBorder="1" applyAlignment="1">
      <alignment horizontal="right"/>
    </xf>
    <xf numFmtId="2" fontId="105" fillId="0" borderId="61" xfId="0" applyNumberFormat="1" applyFont="1" applyFill="1" applyBorder="1" applyAlignment="1"/>
    <xf numFmtId="1" fontId="108" fillId="0" borderId="61" xfId="0" applyNumberFormat="1" applyFont="1" applyFill="1" applyBorder="1" applyAlignment="1">
      <alignment horizontal="right"/>
    </xf>
    <xf numFmtId="2" fontId="105" fillId="0" borderId="61" xfId="0" applyNumberFormat="1" applyFont="1" applyFill="1" applyBorder="1" applyAlignment="1">
      <alignment horizontal="left"/>
    </xf>
    <xf numFmtId="1" fontId="108" fillId="0" borderId="61" xfId="0" applyNumberFormat="1" applyFont="1" applyFill="1" applyBorder="1" applyAlignment="1"/>
    <xf numFmtId="9" fontId="105" fillId="0" borderId="61" xfId="2" applyFont="1" applyFill="1" applyBorder="1" applyAlignment="1">
      <alignment horizontal="right"/>
    </xf>
    <xf numFmtId="2" fontId="105" fillId="0" borderId="62" xfId="0" applyNumberFormat="1" applyFont="1" applyFill="1" applyBorder="1" applyAlignment="1"/>
    <xf numFmtId="2" fontId="105" fillId="24" borderId="62" xfId="0" applyNumberFormat="1" applyFont="1" applyFill="1" applyBorder="1" applyAlignment="1">
      <alignment horizontal="right"/>
    </xf>
    <xf numFmtId="1" fontId="107" fillId="0" borderId="61" xfId="0" applyNumberFormat="1" applyFont="1" applyFill="1" applyBorder="1" applyAlignment="1">
      <alignment horizontal="right"/>
    </xf>
    <xf numFmtId="1" fontId="105" fillId="0" borderId="61" xfId="0" applyNumberFormat="1" applyFont="1" applyFill="1" applyBorder="1" applyAlignment="1"/>
    <xf numFmtId="1" fontId="109" fillId="0" borderId="61" xfId="0" applyNumberFormat="1" applyFont="1" applyFill="1" applyBorder="1" applyAlignment="1"/>
    <xf numFmtId="2" fontId="108" fillId="0" borderId="61" xfId="0" applyNumberFormat="1" applyFont="1" applyFill="1" applyBorder="1" applyAlignment="1">
      <alignment horizontal="right"/>
    </xf>
    <xf numFmtId="2" fontId="108" fillId="0" borderId="62" xfId="0" applyNumberFormat="1" applyFont="1" applyFill="1" applyBorder="1" applyAlignment="1">
      <alignment horizontal="right"/>
    </xf>
    <xf numFmtId="2" fontId="145" fillId="0" borderId="59" xfId="0" applyNumberFormat="1" applyFont="1" applyBorder="1" applyAlignment="1">
      <alignment vertical="center"/>
    </xf>
    <xf numFmtId="2" fontId="145" fillId="0" borderId="60" xfId="0" applyNumberFormat="1" applyFont="1" applyBorder="1" applyAlignment="1">
      <alignment vertical="center"/>
    </xf>
    <xf numFmtId="1" fontId="5" fillId="14" borderId="0" xfId="0" applyNumberFormat="1" applyFont="1" applyFill="1" applyBorder="1" applyAlignment="1" applyProtection="1">
      <alignment horizontal="center"/>
      <protection locked="0"/>
    </xf>
    <xf numFmtId="1" fontId="136" fillId="15" borderId="0" xfId="0" applyNumberFormat="1" applyFont="1" applyFill="1" applyBorder="1" applyAlignment="1" applyProtection="1">
      <protection locked="0"/>
    </xf>
    <xf numFmtId="1" fontId="1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14" fillId="18" borderId="0" xfId="0" applyNumberFormat="1" applyFont="1" applyFill="1" applyBorder="1" applyAlignment="1">
      <alignment horizontal="center"/>
    </xf>
    <xf numFmtId="1" fontId="5" fillId="18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Alignment="1"/>
    <xf numFmtId="2" fontId="48" fillId="0" borderId="0" xfId="0" applyNumberFormat="1" applyFont="1" applyAlignment="1"/>
    <xf numFmtId="2" fontId="5" fillId="2" borderId="0" xfId="0" applyNumberFormat="1" applyFont="1" applyFill="1" applyAlignment="1">
      <alignment horizontal="center"/>
    </xf>
    <xf numFmtId="17" fontId="7" fillId="0" borderId="0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 applyProtection="1">
      <protection locked="0"/>
    </xf>
    <xf numFmtId="3" fontId="7" fillId="0" borderId="0" xfId="2" applyNumberFormat="1" applyFont="1" applyFill="1" applyBorder="1" applyAlignment="1" applyProtection="1">
      <protection locked="0"/>
    </xf>
    <xf numFmtId="1" fontId="143" fillId="0" borderId="0" xfId="0" applyNumberFormat="1" applyFont="1" applyFill="1" applyBorder="1" applyAlignment="1" applyProtection="1">
      <protection locked="0"/>
    </xf>
    <xf numFmtId="9" fontId="144" fillId="0" borderId="0" xfId="2" applyFont="1" applyFill="1" applyBorder="1" applyAlignment="1" applyProtection="1">
      <protection locked="0"/>
    </xf>
    <xf numFmtId="10" fontId="7" fillId="0" borderId="0" xfId="2" applyNumberFormat="1" applyFont="1" applyFill="1" applyBorder="1" applyAlignment="1" applyProtection="1">
      <protection locked="0"/>
    </xf>
    <xf numFmtId="1" fontId="7" fillId="0" borderId="0" xfId="0" applyNumberFormat="1" applyFont="1" applyFill="1" applyBorder="1" applyAlignment="1" applyProtection="1">
      <protection locked="0"/>
    </xf>
    <xf numFmtId="1" fontId="7" fillId="2" borderId="71" xfId="0" applyNumberFormat="1" applyFont="1" applyFill="1" applyBorder="1" applyAlignment="1">
      <alignment horizontal="right"/>
    </xf>
    <xf numFmtId="1" fontId="7" fillId="0" borderId="71" xfId="0" applyNumberFormat="1" applyFont="1" applyBorder="1" applyAlignment="1">
      <alignment horizontal="right"/>
    </xf>
    <xf numFmtId="1" fontId="7" fillId="19" borderId="71" xfId="0" applyNumberFormat="1" applyFont="1" applyFill="1" applyBorder="1" applyAlignment="1">
      <alignment horizontal="right"/>
    </xf>
    <xf numFmtId="1" fontId="1" fillId="0" borderId="71" xfId="0" applyNumberFormat="1" applyFont="1" applyBorder="1" applyAlignment="1">
      <alignment horizontal="right"/>
    </xf>
    <xf numFmtId="1" fontId="1" fillId="0" borderId="71" xfId="0" applyNumberFormat="1" applyFont="1" applyBorder="1" applyAlignment="1">
      <alignment horizontal="center"/>
    </xf>
    <xf numFmtId="2" fontId="0" fillId="0" borderId="0" xfId="0" applyNumberFormat="1" applyFont="1" applyAlignment="1"/>
    <xf numFmtId="2" fontId="48" fillId="0" borderId="0" xfId="0" applyNumberFormat="1" applyFont="1" applyAlignment="1"/>
    <xf numFmtId="2" fontId="0" fillId="0" borderId="0" xfId="0" applyNumberFormat="1" applyFont="1" applyAlignment="1"/>
    <xf numFmtId="2" fontId="48" fillId="0" borderId="0" xfId="0" applyNumberFormat="1" applyFont="1" applyAlignment="1"/>
    <xf numFmtId="1" fontId="5" fillId="0" borderId="9" xfId="0" applyNumberFormat="1" applyFont="1" applyBorder="1" applyAlignment="1">
      <alignment horizontal="center"/>
    </xf>
    <xf numFmtId="1" fontId="19" fillId="0" borderId="5" xfId="0" applyNumberFormat="1" applyFont="1" applyBorder="1" applyAlignment="1">
      <alignment horizontal="right"/>
    </xf>
    <xf numFmtId="1" fontId="19" fillId="0" borderId="2" xfId="0" applyNumberFormat="1" applyFont="1" applyBorder="1" applyAlignment="1">
      <alignment horizontal="right"/>
    </xf>
    <xf numFmtId="1" fontId="14" fillId="0" borderId="4" xfId="0" applyNumberFormat="1" applyFont="1" applyBorder="1" applyAlignment="1">
      <alignment horizontal="right"/>
    </xf>
    <xf numFmtId="166" fontId="7" fillId="0" borderId="0" xfId="0" applyNumberFormat="1" applyFont="1" applyAlignment="1">
      <alignment horizontal="left"/>
    </xf>
    <xf numFmtId="2" fontId="9" fillId="20" borderId="71" xfId="0" applyNumberFormat="1" applyFont="1" applyFill="1" applyBorder="1" applyAlignment="1"/>
    <xf numFmtId="2" fontId="9" fillId="22" borderId="71" xfId="0" applyNumberFormat="1" applyFont="1" applyFill="1" applyBorder="1" applyAlignment="1"/>
    <xf numFmtId="2" fontId="3" fillId="2" borderId="71" xfId="0" applyNumberFormat="1" applyFont="1" applyFill="1" applyBorder="1" applyAlignment="1">
      <alignment horizontal="right"/>
    </xf>
    <xf numFmtId="9" fontId="18" fillId="9" borderId="3" xfId="2" applyFont="1" applyFill="1" applyBorder="1" applyAlignment="1">
      <alignment horizontal="right"/>
    </xf>
    <xf numFmtId="9" fontId="18" fillId="9" borderId="10" xfId="2" applyFont="1" applyFill="1" applyBorder="1" applyAlignment="1">
      <alignment horizontal="right"/>
    </xf>
    <xf numFmtId="9" fontId="18" fillId="3" borderId="10" xfId="2" applyFont="1" applyFill="1" applyBorder="1" applyAlignment="1">
      <alignment horizontal="right"/>
    </xf>
    <xf numFmtId="2" fontId="146" fillId="18" borderId="72" xfId="0" applyNumberFormat="1" applyFont="1" applyFill="1" applyBorder="1" applyAlignment="1">
      <alignment horizontal="left"/>
    </xf>
    <xf numFmtId="2" fontId="88" fillId="24" borderId="72" xfId="0" applyNumberFormat="1" applyFont="1" applyFill="1" applyBorder="1" applyAlignment="1"/>
    <xf numFmtId="2" fontId="88" fillId="0" borderId="72" xfId="0" applyNumberFormat="1" applyFont="1" applyBorder="1" applyAlignment="1"/>
    <xf numFmtId="2" fontId="0" fillId="0" borderId="0" xfId="0" applyNumberFormat="1" applyFont="1" applyAlignment="1"/>
    <xf numFmtId="2" fontId="5" fillId="0" borderId="0" xfId="0" applyNumberFormat="1" applyFont="1" applyAlignment="1"/>
    <xf numFmtId="4" fontId="57" fillId="0" borderId="0" xfId="0" applyNumberFormat="1" applyFont="1" applyAlignment="1"/>
    <xf numFmtId="2" fontId="148" fillId="0" borderId="0" xfId="0" applyNumberFormat="1" applyFont="1" applyBorder="1" applyAlignment="1"/>
    <xf numFmtId="167" fontId="5" fillId="0" borderId="0" xfId="0" applyNumberFormat="1" applyFont="1" applyBorder="1" applyAlignment="1"/>
    <xf numFmtId="2" fontId="101" fillId="35" borderId="73" xfId="0" applyNumberFormat="1" applyFont="1" applyFill="1" applyBorder="1" applyAlignment="1" applyProtection="1">
      <protection locked="0"/>
    </xf>
    <xf numFmtId="2" fontId="0" fillId="35" borderId="99" xfId="0" applyNumberFormat="1" applyFont="1" applyFill="1" applyBorder="1" applyAlignment="1"/>
    <xf numFmtId="2" fontId="14" fillId="4" borderId="101" xfId="0" applyNumberFormat="1" applyFont="1" applyFill="1" applyBorder="1" applyAlignment="1">
      <alignment horizontal="right"/>
    </xf>
    <xf numFmtId="1" fontId="57" fillId="0" borderId="100" xfId="0" applyNumberFormat="1" applyFont="1" applyFill="1" applyBorder="1" applyAlignment="1" applyProtection="1">
      <protection locked="0"/>
    </xf>
    <xf numFmtId="9" fontId="53" fillId="0" borderId="0" xfId="2" applyFont="1" applyFill="1" applyBorder="1" applyAlignment="1" applyProtection="1">
      <protection locked="0"/>
    </xf>
    <xf numFmtId="17" fontId="7" fillId="0" borderId="100" xfId="0" applyNumberFormat="1" applyFont="1" applyFill="1" applyBorder="1" applyAlignment="1" applyProtection="1">
      <protection locked="0"/>
    </xf>
    <xf numFmtId="3" fontId="7" fillId="0" borderId="100" xfId="0" applyNumberFormat="1" applyFont="1" applyFill="1" applyBorder="1" applyAlignment="1" applyProtection="1">
      <protection locked="0"/>
    </xf>
    <xf numFmtId="3" fontId="7" fillId="0" borderId="100" xfId="2" applyNumberFormat="1" applyFont="1" applyFill="1" applyBorder="1" applyAlignment="1" applyProtection="1">
      <protection locked="0"/>
    </xf>
    <xf numFmtId="10" fontId="7" fillId="0" borderId="100" xfId="2" applyNumberFormat="1" applyFont="1" applyFill="1" applyBorder="1" applyAlignment="1" applyProtection="1">
      <protection locked="0"/>
    </xf>
    <xf numFmtId="1" fontId="149" fillId="35" borderId="75" xfId="0" applyNumberFormat="1" applyFont="1" applyFill="1" applyBorder="1" applyAlignment="1" applyProtection="1">
      <protection locked="0"/>
    </xf>
    <xf numFmtId="9" fontId="1" fillId="35" borderId="0" xfId="2" applyFont="1" applyFill="1" applyAlignment="1"/>
    <xf numFmtId="2" fontId="115" fillId="0" borderId="0" xfId="0" applyNumberFormat="1" applyFont="1" applyAlignment="1" applyProtection="1">
      <protection locked="0"/>
    </xf>
    <xf numFmtId="9" fontId="115" fillId="0" borderId="0" xfId="2" applyFont="1" applyAlignment="1" applyProtection="1">
      <protection locked="0"/>
    </xf>
    <xf numFmtId="2" fontId="150" fillId="0" borderId="0" xfId="0" applyNumberFormat="1" applyFont="1" applyAlignment="1"/>
    <xf numFmtId="9" fontId="7" fillId="0" borderId="0" xfId="2" applyFont="1" applyAlignment="1"/>
    <xf numFmtId="9" fontId="5" fillId="2" borderId="0" xfId="2" applyFont="1" applyFill="1" applyAlignment="1">
      <alignment horizontal="center"/>
    </xf>
    <xf numFmtId="166" fontId="49" fillId="0" borderId="0" xfId="0" applyNumberFormat="1" applyFont="1" applyBorder="1" applyAlignment="1">
      <alignment horizontal="right"/>
    </xf>
    <xf numFmtId="9" fontId="1" fillId="35" borderId="0" xfId="2" applyFont="1" applyFill="1" applyAlignment="1" applyProtection="1">
      <protection locked="0"/>
    </xf>
    <xf numFmtId="2" fontId="17" fillId="35" borderId="73" xfId="0" applyNumberFormat="1" applyFont="1" applyFill="1" applyBorder="1" applyAlignment="1" applyProtection="1">
      <protection locked="0"/>
    </xf>
    <xf numFmtId="10" fontId="7" fillId="35" borderId="73" xfId="2" applyNumberFormat="1" applyFont="1" applyFill="1" applyBorder="1" applyAlignment="1" applyProtection="1">
      <protection locked="0"/>
    </xf>
    <xf numFmtId="2" fontId="39" fillId="35" borderId="78" xfId="0" applyNumberFormat="1" applyFont="1" applyFill="1" applyBorder="1" applyAlignment="1"/>
    <xf numFmtId="9" fontId="151" fillId="35" borderId="78" xfId="2" applyFont="1" applyFill="1" applyBorder="1" applyAlignment="1"/>
    <xf numFmtId="2" fontId="39" fillId="35" borderId="102" xfId="0" applyNumberFormat="1" applyFont="1" applyFill="1" applyBorder="1" applyAlignment="1"/>
    <xf numFmtId="2" fontId="17" fillId="35" borderId="76" xfId="0" applyNumberFormat="1" applyFont="1" applyFill="1" applyBorder="1" applyAlignment="1" applyProtection="1">
      <protection locked="0"/>
    </xf>
    <xf numFmtId="9" fontId="62" fillId="35" borderId="102" xfId="2" applyFont="1" applyFill="1" applyBorder="1" applyAlignment="1"/>
    <xf numFmtId="1" fontId="5" fillId="14" borderId="103" xfId="0" applyNumberFormat="1" applyFont="1" applyFill="1" applyBorder="1" applyAlignment="1" applyProtection="1">
      <alignment horizontal="center"/>
      <protection locked="0"/>
    </xf>
    <xf numFmtId="1" fontId="48" fillId="0" borderId="103" xfId="0" applyNumberFormat="1" applyFont="1" applyBorder="1" applyAlignment="1">
      <alignment horizontal="right"/>
    </xf>
    <xf numFmtId="165" fontId="49" fillId="0" borderId="104" xfId="0" applyNumberFormat="1" applyFont="1" applyBorder="1" applyAlignment="1">
      <alignment horizontal="right"/>
    </xf>
    <xf numFmtId="2" fontId="2" fillId="0" borderId="3" xfId="0" applyNumberFormat="1" applyFont="1" applyBorder="1" applyAlignment="1"/>
    <xf numFmtId="2" fontId="126" fillId="0" borderId="0" xfId="0" applyNumberFormat="1" applyFont="1" applyAlignment="1"/>
    <xf numFmtId="2" fontId="112" fillId="0" borderId="0" xfId="0" applyNumberFormat="1" applyFont="1" applyAlignment="1"/>
    <xf numFmtId="2" fontId="1" fillId="0" borderId="80" xfId="0" applyNumberFormat="1" applyFont="1" applyFill="1" applyBorder="1" applyAlignment="1"/>
    <xf numFmtId="2" fontId="0" fillId="0" borderId="81" xfId="0" applyNumberFormat="1" applyFont="1" applyFill="1" applyBorder="1" applyAlignment="1"/>
    <xf numFmtId="2" fontId="14" fillId="0" borderId="83" xfId="0" applyNumberFormat="1" applyFont="1" applyBorder="1" applyAlignment="1"/>
    <xf numFmtId="2" fontId="32" fillId="0" borderId="26" xfId="0" applyNumberFormat="1" applyFont="1" applyBorder="1"/>
    <xf numFmtId="2" fontId="46" fillId="14" borderId="85" xfId="0" applyNumberFormat="1" applyFont="1" applyFill="1" applyBorder="1" applyAlignment="1"/>
    <xf numFmtId="2" fontId="0" fillId="0" borderId="0" xfId="0" applyNumberFormat="1" applyFont="1" applyBorder="1" applyAlignment="1"/>
    <xf numFmtId="2" fontId="48" fillId="0" borderId="85" xfId="0" applyNumberFormat="1" applyFont="1" applyBorder="1" applyAlignment="1"/>
    <xf numFmtId="2" fontId="7" fillId="0" borderId="87" xfId="0" applyNumberFormat="1" applyFont="1" applyBorder="1" applyAlignment="1">
      <alignment horizontal="left"/>
    </xf>
    <xf numFmtId="2" fontId="32" fillId="0" borderId="2" xfId="0" applyNumberFormat="1" applyFont="1" applyBorder="1"/>
    <xf numFmtId="2" fontId="1" fillId="0" borderId="51" xfId="0" applyNumberFormat="1" applyFont="1" applyBorder="1" applyAlignment="1"/>
    <xf numFmtId="2" fontId="0" fillId="0" borderId="0" xfId="0" applyNumberFormat="1" applyFont="1" applyAlignment="1"/>
    <xf numFmtId="2" fontId="107" fillId="0" borderId="0" xfId="0" applyNumberFormat="1" applyFont="1" applyAlignment="1"/>
    <xf numFmtId="2" fontId="14" fillId="0" borderId="3" xfId="0" applyNumberFormat="1" applyFont="1" applyBorder="1" applyAlignment="1"/>
    <xf numFmtId="2" fontId="15" fillId="0" borderId="0" xfId="0" applyNumberFormat="1" applyFont="1" applyAlignment="1"/>
    <xf numFmtId="2" fontId="28" fillId="4" borderId="24" xfId="0" applyNumberFormat="1" applyFont="1" applyFill="1" applyBorder="1" applyAlignment="1"/>
    <xf numFmtId="2" fontId="7" fillId="0" borderId="24" xfId="0" applyNumberFormat="1" applyFont="1" applyBorder="1" applyAlignment="1"/>
    <xf numFmtId="2" fontId="31" fillId="0" borderId="3" xfId="0" applyNumberFormat="1" applyFont="1" applyBorder="1" applyAlignment="1"/>
    <xf numFmtId="2" fontId="97" fillId="3" borderId="56" xfId="0" applyNumberFormat="1" applyFont="1" applyFill="1" applyBorder="1" applyAlignment="1"/>
    <xf numFmtId="2" fontId="32" fillId="0" borderId="57" xfId="0" applyNumberFormat="1" applyFont="1" applyBorder="1"/>
    <xf numFmtId="2" fontId="98" fillId="23" borderId="0" xfId="0" applyNumberFormat="1" applyFont="1" applyFill="1" applyAlignment="1"/>
    <xf numFmtId="2" fontId="142" fillId="0" borderId="0" xfId="0" applyNumberFormat="1" applyFont="1" applyAlignment="1"/>
    <xf numFmtId="2" fontId="18" fillId="0" borderId="0" xfId="0" applyNumberFormat="1" applyFont="1" applyAlignment="1"/>
    <xf numFmtId="2" fontId="48" fillId="0" borderId="1" xfId="0" applyNumberFormat="1" applyFont="1" applyBorder="1" applyAlignment="1"/>
    <xf numFmtId="2" fontId="32" fillId="0" borderId="1" xfId="0" applyNumberFormat="1" applyFont="1" applyBorder="1"/>
    <xf numFmtId="2" fontId="1" fillId="18" borderId="51" xfId="0" applyNumberFormat="1" applyFont="1" applyFill="1" applyBorder="1" applyAlignment="1"/>
    <xf numFmtId="2" fontId="94" fillId="3" borderId="0" xfId="0" applyNumberFormat="1" applyFont="1" applyFill="1" applyAlignment="1"/>
    <xf numFmtId="2" fontId="39" fillId="0" borderId="0" xfId="0" applyNumberFormat="1" applyFont="1" applyAlignment="1"/>
    <xf numFmtId="2" fontId="48" fillId="0" borderId="0" xfId="0" applyNumberFormat="1" applyFont="1" applyAlignment="1"/>
    <xf numFmtId="2" fontId="25" fillId="3" borderId="54" xfId="0" applyNumberFormat="1" applyFont="1" applyFill="1" applyBorder="1" applyAlignment="1"/>
    <xf numFmtId="2" fontId="32" fillId="0" borderId="21" xfId="0" applyNumberFormat="1" applyFont="1" applyBorder="1"/>
    <xf numFmtId="2" fontId="25" fillId="3" borderId="55" xfId="0" applyNumberFormat="1" applyFont="1" applyFill="1" applyBorder="1" applyAlignment="1"/>
    <xf numFmtId="2" fontId="127" fillId="3" borderId="55" xfId="1" applyNumberFormat="1" applyFont="1" applyFill="1" applyBorder="1" applyAlignment="1"/>
    <xf numFmtId="2" fontId="121" fillId="0" borderId="0" xfId="0" applyNumberFormat="1" applyFont="1" applyAlignment="1"/>
  </cellXfs>
  <cellStyles count="3">
    <cellStyle name="Hipervínculo" xfId="1" builtinId="8"/>
    <cellStyle name="Normal" xfId="0" builtinId="0"/>
    <cellStyle name="Porcentaje" xfId="2" builtinId="5"/>
  </cellStyles>
  <dxfs count="68"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</dxfs>
  <tableStyles count="34">
    <tableStyle name="Recibo-style" pivot="0" count="2">
      <tableStyleElement type="firstRowStripe" dxfId="67"/>
      <tableStyleElement type="secondRowStripe" dxfId="66"/>
    </tableStyle>
    <tableStyle name="Recibo-style 2" pivot="0" count="2">
      <tableStyleElement type="firstRowStripe" dxfId="65"/>
      <tableStyleElement type="secondRowStripe" dxfId="64"/>
    </tableStyle>
    <tableStyle name="Recibo-style 3" pivot="0" count="2">
      <tableStyleElement type="firstRowStripe" dxfId="63"/>
      <tableStyleElement type="secondRowStripe" dxfId="62"/>
    </tableStyle>
    <tableStyle name="Recibo-style 4" pivot="0" count="2">
      <tableStyleElement type="firstRowStripe" dxfId="61"/>
      <tableStyleElement type="secondRowStripe" dxfId="60"/>
    </tableStyle>
    <tableStyle name="Recibo-style 5" pivot="0" count="2">
      <tableStyleElement type="firstRowStripe" dxfId="59"/>
      <tableStyleElement type="secondRowStripe" dxfId="58"/>
    </tableStyle>
    <tableStyle name="Recibo-style 6" pivot="0" count="2">
      <tableStyleElement type="firstRowStripe" dxfId="57"/>
      <tableStyleElement type="secondRowStripe" dxfId="56"/>
    </tableStyle>
    <tableStyle name="Recibo-style 7" pivot="0" count="2">
      <tableStyleElement type="firstRowStripe" dxfId="55"/>
      <tableStyleElement type="secondRowStripe" dxfId="54"/>
    </tableStyle>
    <tableStyle name="Recibo-style 8" pivot="0" count="2">
      <tableStyleElement type="firstRowStripe" dxfId="53"/>
      <tableStyleElement type="secondRowStripe" dxfId="52"/>
    </tableStyle>
    <tableStyle name="Recibo-style 9" pivot="0" count="2">
      <tableStyleElement type="firstRowStripe" dxfId="51"/>
      <tableStyleElement type="secondRowStripe" dxfId="50"/>
    </tableStyle>
    <tableStyle name="Recibo-style 10" pivot="0" count="2">
      <tableStyleElement type="firstRowStripe" dxfId="49"/>
      <tableStyleElement type="secondRowStripe" dxfId="48"/>
    </tableStyle>
    <tableStyle name="Recibo-style 11" pivot="0" count="2">
      <tableStyleElement type="firstRowStripe" dxfId="47"/>
      <tableStyleElement type="secondRowStripe" dxfId="46"/>
    </tableStyle>
    <tableStyle name="Recibo-style 12" pivot="0" count="2">
      <tableStyleElement type="firstRowStripe" dxfId="45"/>
      <tableStyleElement type="secondRowStripe" dxfId="44"/>
    </tableStyle>
    <tableStyle name="Recibo-style 13" pivot="0" count="2">
      <tableStyleElement type="firstRowStripe" dxfId="43"/>
      <tableStyleElement type="secondRowStripe" dxfId="42"/>
    </tableStyle>
    <tableStyle name="Recibo-style 14" pivot="0" count="2">
      <tableStyleElement type="firstRowStripe" dxfId="41"/>
      <tableStyleElement type="secondRowStripe" dxfId="40"/>
    </tableStyle>
    <tableStyle name="Recibo-style 15" pivot="0" count="2">
      <tableStyleElement type="firstRowStripe" dxfId="39"/>
      <tableStyleElement type="secondRowStripe" dxfId="38"/>
    </tableStyle>
    <tableStyle name="Recibo-style 16" pivot="0" count="2">
      <tableStyleElement type="firstRowStripe" dxfId="37"/>
      <tableStyleElement type="secondRowStripe" dxfId="36"/>
    </tableStyle>
    <tableStyle name="Recibo-style 17" pivot="0" count="2">
      <tableStyleElement type="firstRowStripe" dxfId="35"/>
      <tableStyleElement type="secondRowStripe" dxfId="34"/>
    </tableStyle>
    <tableStyle name="Recibo-style 18" pivot="0" count="2">
      <tableStyleElement type="firstRowStripe" dxfId="33"/>
      <tableStyleElement type="secondRowStripe" dxfId="32"/>
    </tableStyle>
    <tableStyle name="Recibo-style 19" pivot="0" count="2">
      <tableStyleElement type="firstRowStripe" dxfId="31"/>
      <tableStyleElement type="secondRowStripe" dxfId="30"/>
    </tableStyle>
    <tableStyle name="Recibo-style 20" pivot="0" count="2">
      <tableStyleElement type="firstRowStripe" dxfId="29"/>
      <tableStyleElement type="secondRowStripe" dxfId="28"/>
    </tableStyle>
    <tableStyle name="Recibo-style 21" pivot="0" count="2">
      <tableStyleElement type="firstRowStripe" dxfId="27"/>
      <tableStyleElement type="secondRowStripe" dxfId="26"/>
    </tableStyle>
    <tableStyle name="Recibo-style 22" pivot="0" count="2">
      <tableStyleElement type="firstRowStripe" dxfId="25"/>
      <tableStyleElement type="secondRowStripe" dxfId="24"/>
    </tableStyle>
    <tableStyle name="Recibo-style 23" pivot="0" count="2">
      <tableStyleElement type="firstRowStripe" dxfId="23"/>
      <tableStyleElement type="secondRowStripe" dxfId="22"/>
    </tableStyle>
    <tableStyle name="Recibo-style 24" pivot="0" count="2">
      <tableStyleElement type="firstRowStripe" dxfId="21"/>
      <tableStyleElement type="secondRowStripe" dxfId="20"/>
    </tableStyle>
    <tableStyle name="Recibo-style 25" pivot="0" count="2">
      <tableStyleElement type="firstRowStripe" dxfId="19"/>
      <tableStyleElement type="secondRowStripe" dxfId="18"/>
    </tableStyle>
    <tableStyle name="Recibo-style 26" pivot="0" count="2">
      <tableStyleElement type="firstRowStripe" dxfId="17"/>
      <tableStyleElement type="secondRowStripe" dxfId="16"/>
    </tableStyle>
    <tableStyle name="Recibo-style 27" pivot="0" count="2">
      <tableStyleElement type="firstRowStripe" dxfId="15"/>
      <tableStyleElement type="secondRowStripe" dxfId="14"/>
    </tableStyle>
    <tableStyle name="Recibo-style 28" pivot="0" count="2">
      <tableStyleElement type="firstRowStripe" dxfId="13"/>
      <tableStyleElement type="secondRowStripe" dxfId="12"/>
    </tableStyle>
    <tableStyle name="Recibo-style 29" pivot="0" count="2">
      <tableStyleElement type="firstRowStripe" dxfId="11"/>
      <tableStyleElement type="secondRowStripe" dxfId="10"/>
    </tableStyle>
    <tableStyle name="Recibo-style 30" pivot="0" count="2">
      <tableStyleElement type="firstRowStripe" dxfId="9"/>
      <tableStyleElement type="secondRowStripe" dxfId="8"/>
    </tableStyle>
    <tableStyle name="Recibo-style 31" pivot="0" count="2">
      <tableStyleElement type="firstRowStripe" dxfId="7"/>
      <tableStyleElement type="secondRowStripe" dxfId="6"/>
    </tableStyle>
    <tableStyle name="Recibo-style 32" pivot="0" count="2">
      <tableStyleElement type="firstRowStripe" dxfId="5"/>
      <tableStyleElement type="secondRowStripe" dxfId="4"/>
    </tableStyle>
    <tableStyle name="Recibo-style 33" pivot="0" count="2">
      <tableStyleElement type="firstRowStripe" dxfId="3"/>
      <tableStyleElement type="secondRowStripe" dxfId="2"/>
    </tableStyle>
    <tableStyle name="Recibo-style 34" pivot="0" count="2">
      <tableStyleElement type="firstRowStripe" dxfId="1"/>
      <tableStyleElement type="secondRowStripe" dxfId="0"/>
    </tableStyle>
  </tableStyles>
  <colors>
    <mruColors>
      <color rgb="FFCCFFFF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meruruguay.com.ar/" TargetMode="External"/><Relationship Id="rId2" Type="http://schemas.openxmlformats.org/officeDocument/2006/relationships/hyperlink" Target="mailto:huttvictor@gmail.com" TargetMode="External"/><Relationship Id="rId1" Type="http://schemas.openxmlformats.org/officeDocument/2006/relationships/hyperlink" Target="about:blan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victorhutt.com.ar/" TargetMode="External"/><Relationship Id="rId4" Type="http://schemas.openxmlformats.org/officeDocument/2006/relationships/hyperlink" Target="https://www.facebook.com/agmeruruguay-188015884570012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outlinePr summaryBelow="0" summaryRight="0"/>
  </sheetPr>
  <dimension ref="A1:AV518"/>
  <sheetViews>
    <sheetView tabSelected="1" zoomScale="85" zoomScaleNormal="85" workbookViewId="0">
      <pane ySplit="1" topLeftCell="A2" activePane="bottomLeft" state="frozen"/>
      <selection activeCell="G1" sqref="G1"/>
      <selection pane="bottomLeft"/>
    </sheetView>
  </sheetViews>
  <sheetFormatPr baseColWidth="10" defaultColWidth="14.42578125" defaultRowHeight="15.75" customHeight="1"/>
  <cols>
    <col min="1" max="1" width="9.42578125" style="61" customWidth="1"/>
    <col min="2" max="2" width="12.42578125" style="61" customWidth="1"/>
    <col min="3" max="3" width="19.7109375" style="61" customWidth="1"/>
    <col min="4" max="4" width="32" style="61" customWidth="1"/>
    <col min="5" max="5" width="24.7109375" style="61" customWidth="1"/>
    <col min="6" max="6" width="20.140625" style="61" customWidth="1"/>
    <col min="7" max="7" width="10.42578125" style="61" customWidth="1"/>
    <col min="8" max="8" width="18.42578125" style="61" customWidth="1"/>
    <col min="9" max="9" width="19.42578125" style="61" customWidth="1"/>
    <col min="10" max="10" width="11.140625" style="61" customWidth="1"/>
    <col min="11" max="11" width="18.5703125" style="61" customWidth="1"/>
    <col min="12" max="12" width="16.85546875" style="61" customWidth="1"/>
    <col min="13" max="13" width="10.28515625" style="61" customWidth="1"/>
    <col min="14" max="14" width="18.5703125" style="61" customWidth="1"/>
    <col min="15" max="15" width="18.140625" style="61" customWidth="1"/>
    <col min="16" max="16" width="10.140625" style="61" customWidth="1"/>
    <col min="17" max="17" width="8.140625" style="61" customWidth="1"/>
    <col min="18" max="18" width="18.140625" style="61" bestFit="1" customWidth="1"/>
    <col min="19" max="19" width="12.7109375" style="61" customWidth="1"/>
    <col min="20" max="20" width="19.28515625" style="61" customWidth="1"/>
    <col min="21" max="21" width="15" style="61" bestFit="1" customWidth="1"/>
    <col min="22" max="22" width="10.28515625" style="61" customWidth="1"/>
    <col min="23" max="23" width="18" style="61" customWidth="1"/>
    <col min="24" max="24" width="15.42578125" style="61" bestFit="1" customWidth="1"/>
    <col min="25" max="25" width="10" style="61" customWidth="1"/>
    <col min="26" max="26" width="18.7109375" style="61" customWidth="1"/>
    <col min="27" max="27" width="15" style="61" bestFit="1" customWidth="1"/>
    <col min="28" max="28" width="10.5703125" style="61" customWidth="1"/>
    <col min="29" max="29" width="20.140625" style="61" bestFit="1" customWidth="1"/>
    <col min="30" max="30" width="15" style="61" bestFit="1" customWidth="1"/>
    <col min="31" max="31" width="14.42578125" style="61"/>
    <col min="32" max="32" width="19.42578125" style="61" customWidth="1"/>
    <col min="33" max="16384" width="14.42578125" style="61"/>
  </cols>
  <sheetData>
    <row r="1" spans="1:46" s="55" customFormat="1" ht="18">
      <c r="A1" s="50"/>
      <c r="B1" s="51"/>
      <c r="C1" s="51"/>
      <c r="D1" s="52"/>
      <c r="E1" s="40">
        <v>45047</v>
      </c>
      <c r="F1" s="693" t="s">
        <v>511</v>
      </c>
      <c r="G1" s="617"/>
      <c r="H1" s="40">
        <v>44986</v>
      </c>
      <c r="I1" s="693" t="s">
        <v>510</v>
      </c>
      <c r="J1" s="617"/>
      <c r="K1" s="40">
        <v>44958</v>
      </c>
      <c r="L1" s="744">
        <v>0.08</v>
      </c>
      <c r="M1" s="175"/>
      <c r="N1" s="40">
        <v>44927</v>
      </c>
      <c r="O1" s="53"/>
      <c r="P1" s="53"/>
      <c r="Q1" s="53"/>
      <c r="R1" s="53"/>
      <c r="S1" s="53"/>
      <c r="T1" s="53"/>
    </row>
    <row r="2" spans="1:46" ht="27.75">
      <c r="A2" s="635" t="s">
        <v>508</v>
      </c>
      <c r="B2" s="634"/>
      <c r="C2" s="634"/>
      <c r="D2" s="634"/>
      <c r="E2" s="56"/>
      <c r="F2" s="57"/>
      <c r="G2" s="57"/>
      <c r="H2" s="57"/>
      <c r="I2" s="57"/>
      <c r="J2" s="58"/>
      <c r="K2" s="59"/>
      <c r="L2" s="743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</row>
    <row r="3" spans="1:46" ht="26.25">
      <c r="A3" s="742" t="s">
        <v>509</v>
      </c>
      <c r="B3" s="636"/>
      <c r="C3" s="636"/>
      <c r="D3" s="636"/>
      <c r="E3" s="316"/>
      <c r="F3" s="316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</row>
    <row r="4" spans="1:46" ht="12.75">
      <c r="A4" s="63"/>
      <c r="B4" s="64"/>
      <c r="C4" s="64"/>
      <c r="D4" s="65"/>
      <c r="E4" s="65"/>
      <c r="F4" s="65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</row>
    <row r="5" spans="1:46">
      <c r="A5" s="66" t="s">
        <v>0</v>
      </c>
      <c r="C5" s="60"/>
      <c r="D5" s="595">
        <v>1</v>
      </c>
      <c r="E5" s="595">
        <v>2</v>
      </c>
      <c r="F5" s="595">
        <v>3</v>
      </c>
      <c r="G5" s="595">
        <v>4</v>
      </c>
      <c r="H5" s="595">
        <v>5</v>
      </c>
      <c r="I5" s="595">
        <v>6</v>
      </c>
      <c r="J5" s="595">
        <v>7</v>
      </c>
      <c r="K5" s="596">
        <v>8</v>
      </c>
      <c r="L5" s="595">
        <v>9</v>
      </c>
      <c r="M5" s="595">
        <v>10</v>
      </c>
      <c r="N5" s="595">
        <v>11</v>
      </c>
      <c r="O5" s="596">
        <v>12</v>
      </c>
      <c r="P5" s="595">
        <v>13</v>
      </c>
      <c r="Q5" s="596">
        <v>14</v>
      </c>
      <c r="R5" s="595">
        <v>15</v>
      </c>
      <c r="S5" s="595">
        <v>16</v>
      </c>
      <c r="T5" s="595">
        <v>17</v>
      </c>
      <c r="U5" s="595">
        <v>18</v>
      </c>
      <c r="V5" s="595">
        <v>19</v>
      </c>
      <c r="W5" s="595">
        <v>20</v>
      </c>
      <c r="X5" s="595">
        <v>21</v>
      </c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</row>
    <row r="6" spans="1:46" ht="15">
      <c r="A6" s="545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</row>
    <row r="7" spans="1:46" ht="18">
      <c r="A7" s="773" t="s">
        <v>1</v>
      </c>
      <c r="B7" s="770"/>
      <c r="C7" s="770"/>
      <c r="D7" s="60"/>
      <c r="E7" s="740"/>
      <c r="F7" s="740"/>
      <c r="G7" s="74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</row>
    <row r="8" spans="1:46" ht="18" customHeight="1">
      <c r="A8" s="69"/>
      <c r="B8" s="69"/>
      <c r="C8" s="69"/>
      <c r="D8" s="60"/>
      <c r="E8" s="741"/>
      <c r="F8" s="741"/>
      <c r="G8" s="741"/>
      <c r="H8" s="60"/>
      <c r="I8" s="60"/>
      <c r="J8" s="60"/>
      <c r="K8" s="60"/>
      <c r="L8" s="70"/>
      <c r="M8" s="60"/>
      <c r="N8" s="60"/>
      <c r="O8" s="60"/>
      <c r="P8" s="60"/>
      <c r="Q8" s="4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</row>
    <row r="9" spans="1:46" s="598" customFormat="1" ht="18">
      <c r="A9" s="603" t="s">
        <v>2</v>
      </c>
      <c r="B9" s="597"/>
      <c r="C9" s="597"/>
      <c r="D9" s="316"/>
      <c r="E9" s="316"/>
      <c r="F9" s="316"/>
      <c r="G9" s="316"/>
      <c r="H9" s="316"/>
      <c r="I9" s="316"/>
      <c r="J9" s="316"/>
      <c r="K9" s="316"/>
      <c r="L9" s="603"/>
      <c r="M9" s="316"/>
      <c r="N9" s="316"/>
      <c r="O9" s="316"/>
      <c r="P9" s="316"/>
      <c r="Q9" s="40"/>
      <c r="R9" s="316"/>
      <c r="S9" s="60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</row>
    <row r="10" spans="1:46" ht="15.75" hidden="1" customHeight="1">
      <c r="A10" s="71"/>
      <c r="B10" s="69"/>
      <c r="C10" s="69"/>
      <c r="D10" s="60"/>
      <c r="E10" s="60"/>
      <c r="F10" s="60"/>
      <c r="G10" s="60"/>
      <c r="H10" s="60"/>
      <c r="I10" s="60"/>
      <c r="J10" s="60"/>
      <c r="K10" s="60"/>
      <c r="L10" s="70"/>
      <c r="M10" s="60"/>
      <c r="N10" s="60"/>
      <c r="O10" s="60"/>
      <c r="P10" s="60"/>
      <c r="Q10" s="4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</row>
    <row r="11" spans="1:46" ht="23.25" hidden="1">
      <c r="A11" s="69"/>
      <c r="B11" s="60"/>
      <c r="C11" s="60"/>
      <c r="D11" s="60"/>
      <c r="E11" s="60"/>
      <c r="F11" s="60"/>
      <c r="G11" s="60"/>
      <c r="H11" s="60"/>
      <c r="I11" s="60"/>
      <c r="J11" s="69"/>
      <c r="K11" s="69"/>
      <c r="L11" s="69"/>
      <c r="M11" s="60"/>
      <c r="N11" s="70"/>
      <c r="O11" s="70"/>
      <c r="P11" s="60"/>
      <c r="Q11" s="4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</row>
    <row r="12" spans="1:46" ht="23.25" hidden="1">
      <c r="A12" s="69"/>
      <c r="B12" s="60"/>
      <c r="C12" s="60"/>
      <c r="D12" s="60"/>
      <c r="E12" s="60"/>
      <c r="F12" s="60"/>
      <c r="G12" s="60"/>
      <c r="H12" s="60"/>
      <c r="I12" s="72"/>
      <c r="J12" s="69"/>
      <c r="K12" s="69"/>
      <c r="L12" s="69"/>
      <c r="M12" s="60"/>
      <c r="N12" s="70"/>
      <c r="O12" s="70"/>
      <c r="P12" s="60"/>
      <c r="Q12" s="4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</row>
    <row r="13" spans="1:46" ht="23.25" hidden="1">
      <c r="A13" s="69"/>
      <c r="B13" s="60"/>
      <c r="C13" s="60"/>
      <c r="D13" s="60"/>
      <c r="E13" s="60"/>
      <c r="F13" s="60"/>
      <c r="G13" s="60"/>
      <c r="H13" s="60"/>
      <c r="I13" s="60"/>
      <c r="J13" s="69"/>
      <c r="K13" s="69"/>
      <c r="L13" s="60"/>
      <c r="M13" s="70"/>
      <c r="N13" s="60"/>
      <c r="O13" s="60"/>
      <c r="P13" s="60"/>
      <c r="Q13" s="4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</row>
    <row r="14" spans="1:46" ht="23.25" hidden="1">
      <c r="A14" s="69"/>
      <c r="B14" s="60"/>
      <c r="C14" s="60"/>
      <c r="D14" s="60"/>
      <c r="E14" s="60"/>
      <c r="F14" s="60"/>
      <c r="G14" s="60"/>
      <c r="H14" s="60"/>
      <c r="I14" s="60"/>
      <c r="J14" s="69"/>
      <c r="K14" s="69"/>
      <c r="L14" s="60"/>
      <c r="M14" s="70"/>
      <c r="N14" s="60"/>
      <c r="O14" s="60"/>
      <c r="P14" s="60"/>
      <c r="Q14" s="4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</row>
    <row r="15" spans="1:46" ht="23.25" hidden="1">
      <c r="A15" s="69"/>
      <c r="B15" s="60"/>
      <c r="C15" s="60"/>
      <c r="D15" s="73" t="s">
        <v>3</v>
      </c>
      <c r="E15" s="74"/>
      <c r="F15" s="60"/>
      <c r="G15" s="60"/>
      <c r="H15" s="60"/>
      <c r="I15" s="40">
        <v>44946</v>
      </c>
      <c r="J15" s="69"/>
      <c r="K15" s="69"/>
      <c r="L15" s="40">
        <v>44946</v>
      </c>
      <c r="M15" s="70"/>
      <c r="N15" s="60"/>
      <c r="O15" s="60"/>
      <c r="P15" s="60"/>
      <c r="Q15" s="60"/>
      <c r="R15" s="60"/>
      <c r="S15" s="40">
        <v>44946</v>
      </c>
      <c r="T15" s="60"/>
      <c r="U15" s="60"/>
      <c r="V15" s="60"/>
      <c r="W15" s="40">
        <v>44946</v>
      </c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</row>
    <row r="16" spans="1:46" hidden="1">
      <c r="A16" s="69"/>
      <c r="B16" s="60"/>
      <c r="C16" s="60"/>
      <c r="D16" s="76" t="s">
        <v>4</v>
      </c>
      <c r="E16" s="77" t="s">
        <v>5</v>
      </c>
      <c r="F16" s="60"/>
      <c r="G16" s="60"/>
      <c r="H16" s="60"/>
      <c r="I16" s="78" t="s">
        <v>6</v>
      </c>
      <c r="J16" s="79" t="s">
        <v>7</v>
      </c>
      <c r="K16" s="80" t="s">
        <v>8</v>
      </c>
      <c r="L16" s="81" t="s">
        <v>9</v>
      </c>
      <c r="M16" s="82" t="s">
        <v>10</v>
      </c>
      <c r="N16" s="81" t="s">
        <v>11</v>
      </c>
      <c r="O16" s="81" t="s">
        <v>12</v>
      </c>
      <c r="P16" s="81" t="s">
        <v>13</v>
      </c>
      <c r="Q16" s="81" t="s">
        <v>14</v>
      </c>
      <c r="R16" s="83" t="s">
        <v>15</v>
      </c>
      <c r="S16" s="83">
        <v>1</v>
      </c>
      <c r="T16" s="83">
        <v>2</v>
      </c>
      <c r="U16" s="83">
        <v>3</v>
      </c>
      <c r="V16" s="83">
        <v>4</v>
      </c>
      <c r="W16" s="83">
        <v>5</v>
      </c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</row>
    <row r="17" spans="1:46" hidden="1">
      <c r="A17" s="69"/>
      <c r="B17" s="60"/>
      <c r="C17" s="60"/>
      <c r="D17" s="84">
        <v>0</v>
      </c>
      <c r="E17" s="85">
        <v>0</v>
      </c>
      <c r="F17" s="60"/>
      <c r="G17" s="60"/>
      <c r="H17" s="718">
        <v>0</v>
      </c>
      <c r="I17" s="710">
        <f t="shared" ref="I17:I28" si="0">IF(OR(puntosproljor&lt;620,nina=1),W17,R17)</f>
        <v>30012</v>
      </c>
      <c r="J17" s="711">
        <v>30012</v>
      </c>
      <c r="K17" s="712">
        <v>21436</v>
      </c>
      <c r="L17" s="712">
        <v>0</v>
      </c>
      <c r="M17" s="712">
        <v>0</v>
      </c>
      <c r="N17" s="712">
        <v>0</v>
      </c>
      <c r="O17" s="712">
        <v>0</v>
      </c>
      <c r="P17" s="712">
        <v>23971</v>
      </c>
      <c r="Q17" s="712">
        <v>21240</v>
      </c>
      <c r="R17" s="713">
        <f t="shared" ref="R17:R28" si="1">IF(PUNTOSbasicos&gt;971,Q17,P17)</f>
        <v>23971</v>
      </c>
      <c r="S17" s="713">
        <f t="shared" ref="S17:S28" si="2">IF(PUNTOSbasicos&lt;972,J17,K17)</f>
        <v>30012</v>
      </c>
      <c r="T17" s="713">
        <f t="shared" ref="T17:T28" si="3">IF(PUNTOSbasicos&lt;1170,S17,L17)</f>
        <v>30012</v>
      </c>
      <c r="U17" s="713">
        <f t="shared" ref="U17:U28" si="4">IF(PUNTOSbasicos&lt;1401,T17,M17)</f>
        <v>30012</v>
      </c>
      <c r="V17" s="713">
        <f t="shared" ref="V17:V28" si="5">IF(PUNTOSbasicos&lt;1943,U17,N17)</f>
        <v>30012</v>
      </c>
      <c r="W17" s="713">
        <f t="shared" ref="W17:W28" si="6">IF(PUNTOSbasicos&lt;=2220,V17,O17)</f>
        <v>30012</v>
      </c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</row>
    <row r="18" spans="1:46" hidden="1">
      <c r="A18" s="69"/>
      <c r="B18" s="60"/>
      <c r="C18" s="60"/>
      <c r="D18" s="84">
        <v>1</v>
      </c>
      <c r="E18" s="87">
        <v>0.1</v>
      </c>
      <c r="F18" s="60"/>
      <c r="G18" s="60"/>
      <c r="H18" s="719">
        <v>0.1</v>
      </c>
      <c r="I18" s="710">
        <f t="shared" si="0"/>
        <v>36720</v>
      </c>
      <c r="J18" s="711">
        <v>36720</v>
      </c>
      <c r="K18" s="712">
        <v>21956</v>
      </c>
      <c r="L18" s="712">
        <v>0</v>
      </c>
      <c r="M18" s="712">
        <v>0</v>
      </c>
      <c r="N18" s="712">
        <v>0</v>
      </c>
      <c r="O18" s="712">
        <v>0</v>
      </c>
      <c r="P18" s="712">
        <v>24491</v>
      </c>
      <c r="Q18" s="712">
        <v>21761</v>
      </c>
      <c r="R18" s="713">
        <f t="shared" si="1"/>
        <v>24491</v>
      </c>
      <c r="S18" s="713">
        <f t="shared" si="2"/>
        <v>36720</v>
      </c>
      <c r="T18" s="713">
        <f t="shared" si="3"/>
        <v>36720</v>
      </c>
      <c r="U18" s="713">
        <f t="shared" si="4"/>
        <v>36720</v>
      </c>
      <c r="V18" s="713">
        <f t="shared" si="5"/>
        <v>36720</v>
      </c>
      <c r="W18" s="713">
        <f t="shared" si="6"/>
        <v>36720</v>
      </c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</row>
    <row r="19" spans="1:46" hidden="1">
      <c r="A19" s="69"/>
      <c r="B19" s="60"/>
      <c r="C19" s="60"/>
      <c r="D19" s="84">
        <v>2</v>
      </c>
      <c r="E19" s="87">
        <v>0.15</v>
      </c>
      <c r="F19" s="60"/>
      <c r="G19" s="60"/>
      <c r="H19" s="720">
        <v>0.15</v>
      </c>
      <c r="I19" s="710">
        <f t="shared" si="0"/>
        <v>40918</v>
      </c>
      <c r="J19" s="711">
        <v>40918</v>
      </c>
      <c r="K19" s="712">
        <v>26581</v>
      </c>
      <c r="L19" s="712">
        <v>29627</v>
      </c>
      <c r="M19" s="712">
        <v>25328</v>
      </c>
      <c r="N19" s="712">
        <v>26354</v>
      </c>
      <c r="O19" s="712">
        <v>0</v>
      </c>
      <c r="P19" s="712">
        <v>31199</v>
      </c>
      <c r="Q19" s="712">
        <v>28469</v>
      </c>
      <c r="R19" s="713">
        <f t="shared" si="1"/>
        <v>31199</v>
      </c>
      <c r="S19" s="713">
        <f t="shared" si="2"/>
        <v>40918</v>
      </c>
      <c r="T19" s="713">
        <f t="shared" si="3"/>
        <v>40918</v>
      </c>
      <c r="U19" s="713">
        <f t="shared" si="4"/>
        <v>40918</v>
      </c>
      <c r="V19" s="713">
        <f t="shared" si="5"/>
        <v>40918</v>
      </c>
      <c r="W19" s="713">
        <f t="shared" si="6"/>
        <v>40918</v>
      </c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</row>
    <row r="20" spans="1:46" hidden="1">
      <c r="A20" s="69"/>
      <c r="B20" s="60"/>
      <c r="C20" s="60"/>
      <c r="D20" s="84">
        <v>5</v>
      </c>
      <c r="E20" s="87">
        <v>0.3</v>
      </c>
      <c r="F20" s="60"/>
      <c r="G20" s="60"/>
      <c r="H20" s="720">
        <v>0.3</v>
      </c>
      <c r="I20" s="710">
        <f t="shared" si="0"/>
        <v>42654</v>
      </c>
      <c r="J20" s="711">
        <v>42654</v>
      </c>
      <c r="K20" s="712">
        <v>27323</v>
      </c>
      <c r="L20" s="712">
        <v>29627</v>
      </c>
      <c r="M20" s="712">
        <v>25328</v>
      </c>
      <c r="N20" s="712">
        <v>26354</v>
      </c>
      <c r="O20" s="712">
        <v>0</v>
      </c>
      <c r="P20" s="712">
        <v>39454</v>
      </c>
      <c r="Q20" s="712">
        <v>35177</v>
      </c>
      <c r="R20" s="713">
        <f t="shared" si="1"/>
        <v>39454</v>
      </c>
      <c r="S20" s="713">
        <f t="shared" si="2"/>
        <v>42654</v>
      </c>
      <c r="T20" s="713">
        <f t="shared" si="3"/>
        <v>42654</v>
      </c>
      <c r="U20" s="713">
        <f t="shared" si="4"/>
        <v>42654</v>
      </c>
      <c r="V20" s="713">
        <f t="shared" si="5"/>
        <v>42654</v>
      </c>
      <c r="W20" s="713">
        <f t="shared" si="6"/>
        <v>42654</v>
      </c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</row>
    <row r="21" spans="1:46" hidden="1">
      <c r="A21" s="69"/>
      <c r="B21" s="60"/>
      <c r="C21" s="60"/>
      <c r="D21" s="84">
        <v>7</v>
      </c>
      <c r="E21" s="87">
        <v>0.4</v>
      </c>
      <c r="F21" s="60"/>
      <c r="G21" s="60"/>
      <c r="H21" s="720">
        <v>0.4</v>
      </c>
      <c r="I21" s="710">
        <f t="shared" si="0"/>
        <v>39845</v>
      </c>
      <c r="J21" s="711">
        <v>39845</v>
      </c>
      <c r="K21" s="712">
        <v>28112</v>
      </c>
      <c r="L21" s="712">
        <v>28279</v>
      </c>
      <c r="M21" s="712">
        <v>25691</v>
      </c>
      <c r="N21" s="712">
        <v>26354</v>
      </c>
      <c r="O21" s="712">
        <v>24302</v>
      </c>
      <c r="P21" s="712">
        <v>42563</v>
      </c>
      <c r="Q21" s="712">
        <v>35881</v>
      </c>
      <c r="R21" s="713">
        <f t="shared" si="1"/>
        <v>42563</v>
      </c>
      <c r="S21" s="713">
        <f t="shared" si="2"/>
        <v>39845</v>
      </c>
      <c r="T21" s="713">
        <f t="shared" si="3"/>
        <v>39845</v>
      </c>
      <c r="U21" s="713">
        <f t="shared" si="4"/>
        <v>39845</v>
      </c>
      <c r="V21" s="713">
        <f t="shared" si="5"/>
        <v>39845</v>
      </c>
      <c r="W21" s="713">
        <f t="shared" si="6"/>
        <v>39845</v>
      </c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</row>
    <row r="22" spans="1:46" hidden="1">
      <c r="A22" s="69"/>
      <c r="B22" s="60"/>
      <c r="C22" s="60"/>
      <c r="D22" s="84">
        <v>10</v>
      </c>
      <c r="E22" s="87">
        <v>0.5</v>
      </c>
      <c r="F22" s="60"/>
      <c r="G22" s="60"/>
      <c r="H22" s="720">
        <v>0.5</v>
      </c>
      <c r="I22" s="710">
        <f t="shared" si="0"/>
        <v>36483</v>
      </c>
      <c r="J22" s="711">
        <v>36483</v>
      </c>
      <c r="K22" s="712">
        <v>29138</v>
      </c>
      <c r="L22" s="712">
        <v>28279</v>
      </c>
      <c r="M22" s="712">
        <v>25691</v>
      </c>
      <c r="N22" s="712">
        <v>26354</v>
      </c>
      <c r="O22" s="712">
        <v>22418</v>
      </c>
      <c r="P22" s="712">
        <v>44363</v>
      </c>
      <c r="Q22" s="712">
        <v>37664</v>
      </c>
      <c r="R22" s="713">
        <f t="shared" si="1"/>
        <v>44363</v>
      </c>
      <c r="S22" s="713">
        <f t="shared" si="2"/>
        <v>36483</v>
      </c>
      <c r="T22" s="713">
        <f t="shared" si="3"/>
        <v>36483</v>
      </c>
      <c r="U22" s="713">
        <f t="shared" si="4"/>
        <v>36483</v>
      </c>
      <c r="V22" s="713">
        <f t="shared" si="5"/>
        <v>36483</v>
      </c>
      <c r="W22" s="713">
        <f t="shared" si="6"/>
        <v>36483</v>
      </c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</row>
    <row r="23" spans="1:46" hidden="1">
      <c r="A23" s="69"/>
      <c r="B23" s="60"/>
      <c r="C23" s="60"/>
      <c r="D23" s="84">
        <v>12</v>
      </c>
      <c r="E23" s="87">
        <v>0.6</v>
      </c>
      <c r="F23" s="60"/>
      <c r="G23" s="60"/>
      <c r="H23" s="720">
        <v>0.6</v>
      </c>
      <c r="I23" s="710">
        <f t="shared" si="0"/>
        <v>36609</v>
      </c>
      <c r="J23" s="711">
        <v>36609</v>
      </c>
      <c r="K23" s="712">
        <v>28769</v>
      </c>
      <c r="L23" s="712">
        <v>28789</v>
      </c>
      <c r="M23" s="712">
        <v>25865</v>
      </c>
      <c r="N23" s="712">
        <v>24975</v>
      </c>
      <c r="O23" s="712">
        <v>23412</v>
      </c>
      <c r="P23" s="712">
        <v>46162</v>
      </c>
      <c r="Q23" s="712">
        <v>38453</v>
      </c>
      <c r="R23" s="713">
        <f t="shared" si="1"/>
        <v>46162</v>
      </c>
      <c r="S23" s="713">
        <f t="shared" si="2"/>
        <v>36609</v>
      </c>
      <c r="T23" s="713">
        <f t="shared" si="3"/>
        <v>36609</v>
      </c>
      <c r="U23" s="713">
        <f t="shared" si="4"/>
        <v>36609</v>
      </c>
      <c r="V23" s="713">
        <f t="shared" si="5"/>
        <v>36609</v>
      </c>
      <c r="W23" s="713">
        <f t="shared" si="6"/>
        <v>36609</v>
      </c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</row>
    <row r="24" spans="1:46" hidden="1">
      <c r="A24" s="69"/>
      <c r="B24" s="60"/>
      <c r="C24" s="60"/>
      <c r="D24" s="84">
        <v>15</v>
      </c>
      <c r="E24" s="87">
        <v>0.7</v>
      </c>
      <c r="F24" s="60"/>
      <c r="G24" s="60"/>
      <c r="H24" s="720">
        <v>0.7</v>
      </c>
      <c r="I24" s="710">
        <f t="shared" si="0"/>
        <v>33731</v>
      </c>
      <c r="J24" s="711">
        <v>33731</v>
      </c>
      <c r="K24" s="712">
        <v>30047</v>
      </c>
      <c r="L24" s="712">
        <v>34119</v>
      </c>
      <c r="M24" s="712">
        <v>25369</v>
      </c>
      <c r="N24" s="712">
        <v>24975</v>
      </c>
      <c r="O24" s="712">
        <v>23412</v>
      </c>
      <c r="P24" s="712">
        <v>45067</v>
      </c>
      <c r="Q24" s="712">
        <v>39243</v>
      </c>
      <c r="R24" s="713">
        <f t="shared" si="1"/>
        <v>45067</v>
      </c>
      <c r="S24" s="713">
        <f t="shared" si="2"/>
        <v>33731</v>
      </c>
      <c r="T24" s="713">
        <f t="shared" si="3"/>
        <v>33731</v>
      </c>
      <c r="U24" s="713">
        <f t="shared" si="4"/>
        <v>33731</v>
      </c>
      <c r="V24" s="713">
        <f t="shared" si="5"/>
        <v>33731</v>
      </c>
      <c r="W24" s="713">
        <f t="shared" si="6"/>
        <v>33731</v>
      </c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</row>
    <row r="25" spans="1:46" hidden="1">
      <c r="A25" s="69"/>
      <c r="B25" s="60"/>
      <c r="C25" s="60"/>
      <c r="D25" s="84">
        <v>17</v>
      </c>
      <c r="E25" s="87">
        <v>0.8</v>
      </c>
      <c r="F25" s="60"/>
      <c r="G25" s="60"/>
      <c r="H25" s="720">
        <v>0.8</v>
      </c>
      <c r="I25" s="710">
        <f t="shared" si="0"/>
        <v>38103</v>
      </c>
      <c r="J25" s="711">
        <v>38103</v>
      </c>
      <c r="K25" s="712">
        <v>33125</v>
      </c>
      <c r="L25" s="712">
        <v>35698</v>
      </c>
      <c r="M25" s="712">
        <v>30972</v>
      </c>
      <c r="N25" s="712">
        <v>29552</v>
      </c>
      <c r="O25" s="712">
        <v>24469</v>
      </c>
      <c r="P25" s="712">
        <v>46582</v>
      </c>
      <c r="Q25" s="712">
        <v>39748</v>
      </c>
      <c r="R25" s="713">
        <f t="shared" si="1"/>
        <v>46582</v>
      </c>
      <c r="S25" s="713">
        <f t="shared" si="2"/>
        <v>38103</v>
      </c>
      <c r="T25" s="713">
        <f t="shared" si="3"/>
        <v>38103</v>
      </c>
      <c r="U25" s="713">
        <f t="shared" si="4"/>
        <v>38103</v>
      </c>
      <c r="V25" s="713">
        <f t="shared" si="5"/>
        <v>38103</v>
      </c>
      <c r="W25" s="713">
        <f t="shared" si="6"/>
        <v>38103</v>
      </c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</row>
    <row r="26" spans="1:46" hidden="1">
      <c r="A26" s="69"/>
      <c r="B26" s="60"/>
      <c r="C26" s="60"/>
      <c r="D26" s="84">
        <v>20</v>
      </c>
      <c r="E26" s="87">
        <v>1</v>
      </c>
      <c r="F26" s="60"/>
      <c r="G26" s="60"/>
      <c r="H26" s="720">
        <v>1</v>
      </c>
      <c r="I26" s="710">
        <f t="shared" si="0"/>
        <v>44400</v>
      </c>
      <c r="J26" s="711">
        <v>44400</v>
      </c>
      <c r="K26" s="712">
        <v>37702</v>
      </c>
      <c r="L26" s="712">
        <v>36439</v>
      </c>
      <c r="M26" s="712">
        <v>30467</v>
      </c>
      <c r="N26" s="712">
        <v>31098</v>
      </c>
      <c r="O26" s="712">
        <v>24469</v>
      </c>
      <c r="P26" s="712">
        <v>48413</v>
      </c>
      <c r="Q26" s="712">
        <v>40505</v>
      </c>
      <c r="R26" s="713">
        <f t="shared" si="1"/>
        <v>48413</v>
      </c>
      <c r="S26" s="713">
        <f t="shared" si="2"/>
        <v>44400</v>
      </c>
      <c r="T26" s="713">
        <f t="shared" si="3"/>
        <v>44400</v>
      </c>
      <c r="U26" s="713">
        <f t="shared" si="4"/>
        <v>44400</v>
      </c>
      <c r="V26" s="713">
        <f t="shared" si="5"/>
        <v>44400</v>
      </c>
      <c r="W26" s="713">
        <f t="shared" si="6"/>
        <v>44400</v>
      </c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</row>
    <row r="27" spans="1:46" hidden="1">
      <c r="A27" s="69"/>
      <c r="B27" s="60"/>
      <c r="C27" s="60"/>
      <c r="D27" s="84">
        <v>22</v>
      </c>
      <c r="E27" s="87">
        <v>1.1000000000000001</v>
      </c>
      <c r="F27" s="60"/>
      <c r="G27" s="60"/>
      <c r="H27" s="720">
        <v>1.1000000000000001</v>
      </c>
      <c r="I27" s="710">
        <f t="shared" si="0"/>
        <v>48267</v>
      </c>
      <c r="J27" s="711">
        <v>48267</v>
      </c>
      <c r="K27" s="712">
        <v>40796</v>
      </c>
      <c r="L27" s="712">
        <v>35597</v>
      </c>
      <c r="M27" s="712">
        <v>30467</v>
      </c>
      <c r="N27" s="712">
        <v>31619</v>
      </c>
      <c r="O27" s="712">
        <v>24975</v>
      </c>
      <c r="P27" s="712">
        <v>49691</v>
      </c>
      <c r="Q27" s="712">
        <v>41279</v>
      </c>
      <c r="R27" s="713">
        <f t="shared" si="1"/>
        <v>49691</v>
      </c>
      <c r="S27" s="713">
        <f t="shared" si="2"/>
        <v>48267</v>
      </c>
      <c r="T27" s="713">
        <f t="shared" si="3"/>
        <v>48267</v>
      </c>
      <c r="U27" s="713">
        <f t="shared" si="4"/>
        <v>48267</v>
      </c>
      <c r="V27" s="713">
        <f t="shared" si="5"/>
        <v>48267</v>
      </c>
      <c r="W27" s="713">
        <f t="shared" si="6"/>
        <v>48267</v>
      </c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</row>
    <row r="28" spans="1:46" hidden="1">
      <c r="A28" s="69"/>
      <c r="B28" s="60"/>
      <c r="C28" s="60"/>
      <c r="D28" s="84">
        <v>24</v>
      </c>
      <c r="E28" s="87">
        <v>1.2</v>
      </c>
      <c r="F28" s="60"/>
      <c r="G28" s="60"/>
      <c r="H28" s="720">
        <v>1.2</v>
      </c>
      <c r="I28" s="710">
        <f t="shared" si="0"/>
        <v>49498</v>
      </c>
      <c r="J28" s="711">
        <v>49498</v>
      </c>
      <c r="K28" s="712">
        <v>41553</v>
      </c>
      <c r="L28" s="712">
        <v>38122</v>
      </c>
      <c r="M28" s="712">
        <v>30720</v>
      </c>
      <c r="N28" s="712">
        <v>32124</v>
      </c>
      <c r="O28" s="712">
        <v>24975</v>
      </c>
      <c r="P28" s="712">
        <v>49944</v>
      </c>
      <c r="Q28" s="712">
        <v>41583</v>
      </c>
      <c r="R28" s="713">
        <f t="shared" si="1"/>
        <v>49944</v>
      </c>
      <c r="S28" s="713">
        <f t="shared" si="2"/>
        <v>49498</v>
      </c>
      <c r="T28" s="713">
        <f t="shared" si="3"/>
        <v>49498</v>
      </c>
      <c r="U28" s="713">
        <f t="shared" si="4"/>
        <v>49498</v>
      </c>
      <c r="V28" s="713">
        <f t="shared" si="5"/>
        <v>49498</v>
      </c>
      <c r="W28" s="713">
        <f t="shared" si="6"/>
        <v>49498</v>
      </c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</row>
    <row r="29" spans="1:46" hidden="1">
      <c r="A29" s="69"/>
      <c r="B29" s="60"/>
      <c r="C29" s="60"/>
      <c r="D29" s="90"/>
      <c r="E29" s="90"/>
      <c r="F29" s="60"/>
      <c r="G29" s="60"/>
      <c r="H29" s="91"/>
      <c r="I29" s="92"/>
      <c r="J29" s="93"/>
      <c r="K29" s="93"/>
      <c r="L29" s="93"/>
      <c r="M29" s="93"/>
      <c r="N29" s="93"/>
      <c r="O29" s="93"/>
      <c r="P29" s="93"/>
      <c r="Q29" s="93"/>
      <c r="R29" s="68"/>
      <c r="S29" s="68"/>
      <c r="T29" s="68"/>
      <c r="U29" s="68"/>
      <c r="V29" s="68"/>
      <c r="W29" s="68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</row>
    <row r="30" spans="1:46" hidden="1">
      <c r="A30" s="69"/>
      <c r="B30" s="60"/>
      <c r="C30" s="60"/>
      <c r="D30" s="90"/>
      <c r="E30" s="90"/>
      <c r="F30" s="60"/>
      <c r="G30" s="60"/>
      <c r="H30" s="86">
        <v>0</v>
      </c>
      <c r="I30" s="92"/>
      <c r="J30" s="94">
        <v>5000</v>
      </c>
      <c r="K30" s="94">
        <v>5000</v>
      </c>
      <c r="L30" s="95">
        <v>0</v>
      </c>
      <c r="M30" s="95">
        <v>0</v>
      </c>
      <c r="N30" s="95">
        <v>0</v>
      </c>
      <c r="O30" s="95">
        <v>0</v>
      </c>
      <c r="P30" s="96">
        <v>4374</v>
      </c>
      <c r="Q30" s="96">
        <v>4375</v>
      </c>
      <c r="R30" s="68"/>
      <c r="S30" s="68"/>
      <c r="T30" s="68"/>
      <c r="U30" s="68"/>
      <c r="V30" s="68"/>
      <c r="W30" s="68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</row>
    <row r="31" spans="1:46" hidden="1">
      <c r="A31" s="69"/>
      <c r="B31" s="60"/>
      <c r="C31" s="60"/>
      <c r="D31" s="90"/>
      <c r="E31" s="90"/>
      <c r="F31" s="60"/>
      <c r="G31" s="60"/>
      <c r="H31" s="88">
        <v>0.1</v>
      </c>
      <c r="I31" s="92"/>
      <c r="J31" s="94">
        <v>5001</v>
      </c>
      <c r="K31" s="94">
        <v>5000</v>
      </c>
      <c r="L31" s="95">
        <v>0</v>
      </c>
      <c r="M31" s="95">
        <v>0</v>
      </c>
      <c r="N31" s="95">
        <v>0</v>
      </c>
      <c r="O31" s="95">
        <v>0</v>
      </c>
      <c r="P31" s="96">
        <v>4375</v>
      </c>
      <c r="Q31" s="96">
        <v>4376</v>
      </c>
      <c r="R31" s="68"/>
      <c r="S31" s="68"/>
      <c r="T31" s="68"/>
      <c r="U31" s="68"/>
      <c r="V31" s="68"/>
      <c r="W31" s="68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</row>
    <row r="32" spans="1:46" hidden="1">
      <c r="A32" s="69"/>
      <c r="B32" s="60"/>
      <c r="C32" s="60"/>
      <c r="D32" s="90"/>
      <c r="E32" s="90"/>
      <c r="F32" s="60"/>
      <c r="G32" s="60"/>
      <c r="H32" s="89">
        <v>0.15</v>
      </c>
      <c r="I32" s="92"/>
      <c r="J32" s="94">
        <v>5000</v>
      </c>
      <c r="K32" s="94">
        <v>5000</v>
      </c>
      <c r="L32" s="96">
        <v>5000</v>
      </c>
      <c r="M32" s="96">
        <v>4375</v>
      </c>
      <c r="N32" s="96">
        <v>4375</v>
      </c>
      <c r="O32" s="95">
        <v>0</v>
      </c>
      <c r="P32" s="96">
        <v>4376</v>
      </c>
      <c r="Q32" s="96">
        <v>4375</v>
      </c>
      <c r="R32" s="68"/>
      <c r="S32" s="68"/>
      <c r="T32" s="68"/>
      <c r="U32" s="68"/>
      <c r="V32" s="68"/>
      <c r="W32" s="68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</row>
    <row r="33" spans="1:46" hidden="1">
      <c r="A33" s="69"/>
      <c r="B33" s="60"/>
      <c r="C33" s="60"/>
      <c r="D33" s="90"/>
      <c r="E33" s="90"/>
      <c r="F33" s="60"/>
      <c r="G33" s="60"/>
      <c r="H33" s="89">
        <v>0.3</v>
      </c>
      <c r="I33" s="92"/>
      <c r="J33" s="94">
        <v>5000</v>
      </c>
      <c r="K33" s="94">
        <v>5000</v>
      </c>
      <c r="L33" s="96">
        <v>5000</v>
      </c>
      <c r="M33" s="96">
        <v>4375</v>
      </c>
      <c r="N33" s="96">
        <v>4375</v>
      </c>
      <c r="O33" s="95">
        <v>0</v>
      </c>
      <c r="P33" s="96">
        <v>4376</v>
      </c>
      <c r="Q33" s="96">
        <v>4376</v>
      </c>
      <c r="R33" s="68"/>
      <c r="S33" s="68"/>
      <c r="T33" s="68"/>
      <c r="U33" s="68"/>
      <c r="V33" s="68"/>
      <c r="W33" s="68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</row>
    <row r="34" spans="1:46" hidden="1">
      <c r="A34" s="69"/>
      <c r="B34" s="60"/>
      <c r="C34" s="60"/>
      <c r="D34" s="90"/>
      <c r="E34" s="90"/>
      <c r="F34" s="60"/>
      <c r="G34" s="60"/>
      <c r="H34" s="89">
        <v>0.4</v>
      </c>
      <c r="I34" s="92"/>
      <c r="J34" s="94">
        <v>5001</v>
      </c>
      <c r="K34" s="94">
        <v>4999</v>
      </c>
      <c r="L34" s="94">
        <v>4375</v>
      </c>
      <c r="M34" s="96">
        <v>4375</v>
      </c>
      <c r="N34" s="96">
        <v>4375</v>
      </c>
      <c r="O34" s="96">
        <v>4374</v>
      </c>
      <c r="P34" s="96">
        <v>4376</v>
      </c>
      <c r="Q34" s="95">
        <v>3751</v>
      </c>
      <c r="R34" s="68"/>
      <c r="S34" s="68"/>
      <c r="T34" s="68"/>
      <c r="U34" s="68"/>
      <c r="V34" s="68"/>
      <c r="W34" s="68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</row>
    <row r="35" spans="1:46" hidden="1">
      <c r="A35" s="69"/>
      <c r="B35" s="60"/>
      <c r="C35" s="60"/>
      <c r="D35" s="90"/>
      <c r="E35" s="90"/>
      <c r="F35" s="60"/>
      <c r="G35" s="60"/>
      <c r="H35" s="89">
        <v>0.5</v>
      </c>
      <c r="I35" s="92"/>
      <c r="J35" s="94">
        <v>5001</v>
      </c>
      <c r="K35" s="94">
        <v>4999</v>
      </c>
      <c r="L35" s="94">
        <v>4375</v>
      </c>
      <c r="M35" s="96">
        <v>4375</v>
      </c>
      <c r="N35" s="96">
        <v>4375</v>
      </c>
      <c r="O35" s="95">
        <v>3749</v>
      </c>
      <c r="P35" s="96">
        <v>4376</v>
      </c>
      <c r="Q35" s="95">
        <v>3751</v>
      </c>
      <c r="R35" s="68"/>
      <c r="S35" s="68"/>
      <c r="T35" s="68"/>
      <c r="U35" s="68"/>
      <c r="V35" s="68"/>
      <c r="W35" s="68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</row>
    <row r="36" spans="1:46" hidden="1">
      <c r="A36" s="69"/>
      <c r="B36" s="60"/>
      <c r="C36" s="60"/>
      <c r="D36" s="90"/>
      <c r="E36" s="90"/>
      <c r="F36" s="60"/>
      <c r="G36" s="60"/>
      <c r="H36" s="89">
        <v>0.6</v>
      </c>
      <c r="I36" s="92"/>
      <c r="J36" s="94">
        <v>4999</v>
      </c>
      <c r="K36" s="95">
        <v>4375</v>
      </c>
      <c r="L36" s="94">
        <v>4375</v>
      </c>
      <c r="M36" s="96">
        <v>4376</v>
      </c>
      <c r="N36" s="95">
        <v>3651</v>
      </c>
      <c r="O36" s="95">
        <v>3749</v>
      </c>
      <c r="P36" s="96">
        <v>4376</v>
      </c>
      <c r="Q36" s="95">
        <v>3750</v>
      </c>
      <c r="R36" s="68"/>
      <c r="S36" s="68"/>
      <c r="T36" s="68"/>
      <c r="U36" s="68"/>
      <c r="V36" s="68"/>
      <c r="W36" s="68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</row>
    <row r="37" spans="1:46" hidden="1">
      <c r="A37" s="69"/>
      <c r="B37" s="60"/>
      <c r="C37" s="60"/>
      <c r="D37" s="90"/>
      <c r="E37" s="90"/>
      <c r="F37" s="60"/>
      <c r="G37" s="60"/>
      <c r="H37" s="89">
        <v>0.7</v>
      </c>
      <c r="I37" s="92"/>
      <c r="J37" s="95">
        <v>4375</v>
      </c>
      <c r="K37" s="95">
        <v>4376</v>
      </c>
      <c r="L37" s="94">
        <v>4376</v>
      </c>
      <c r="M37" s="95">
        <v>3749</v>
      </c>
      <c r="N37" s="95">
        <v>3651</v>
      </c>
      <c r="O37" s="95">
        <v>3749</v>
      </c>
      <c r="P37" s="95">
        <v>3751</v>
      </c>
      <c r="Q37" s="95">
        <v>3750</v>
      </c>
      <c r="R37" s="68"/>
      <c r="S37" s="68"/>
      <c r="T37" s="68"/>
      <c r="U37" s="68"/>
      <c r="V37" s="68"/>
      <c r="W37" s="68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</row>
    <row r="38" spans="1:46" hidden="1">
      <c r="A38" s="69"/>
      <c r="B38" s="60"/>
      <c r="C38" s="60"/>
      <c r="D38" s="90"/>
      <c r="E38" s="90"/>
      <c r="F38" s="60"/>
      <c r="G38" s="60"/>
      <c r="H38" s="89">
        <v>0.8</v>
      </c>
      <c r="I38" s="92"/>
      <c r="J38" s="95">
        <v>4375</v>
      </c>
      <c r="K38" s="95">
        <v>4376</v>
      </c>
      <c r="L38" s="94">
        <v>4375</v>
      </c>
      <c r="M38" s="95">
        <v>3751</v>
      </c>
      <c r="N38" s="95">
        <v>3751</v>
      </c>
      <c r="O38" s="95">
        <v>3750</v>
      </c>
      <c r="P38" s="95">
        <v>3751</v>
      </c>
      <c r="Q38" s="95">
        <v>3750</v>
      </c>
      <c r="R38" s="68"/>
      <c r="S38" s="68"/>
      <c r="T38" s="68"/>
      <c r="U38" s="68"/>
      <c r="V38" s="68"/>
      <c r="W38" s="68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</row>
    <row r="39" spans="1:46" hidden="1">
      <c r="A39" s="69"/>
      <c r="B39" s="60"/>
      <c r="C39" s="60"/>
      <c r="D39" s="90"/>
      <c r="E39" s="90"/>
      <c r="F39" s="60"/>
      <c r="G39" s="60"/>
      <c r="H39" s="89">
        <v>1</v>
      </c>
      <c r="I39" s="92"/>
      <c r="J39" s="95">
        <v>4376</v>
      </c>
      <c r="K39" s="95">
        <v>4376</v>
      </c>
      <c r="L39" s="94">
        <v>4376</v>
      </c>
      <c r="M39" s="95">
        <v>3750</v>
      </c>
      <c r="N39" s="95">
        <v>3750</v>
      </c>
      <c r="O39" s="95">
        <v>3750</v>
      </c>
      <c r="P39" s="95">
        <v>3751</v>
      </c>
      <c r="Q39" s="95">
        <v>3751</v>
      </c>
      <c r="R39" s="68"/>
      <c r="S39" s="68"/>
      <c r="T39" s="68"/>
      <c r="U39" s="68"/>
      <c r="V39" s="68"/>
      <c r="W39" s="68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</row>
    <row r="40" spans="1:46" hidden="1">
      <c r="A40" s="69"/>
      <c r="B40" s="60"/>
      <c r="C40" s="60"/>
      <c r="D40" s="90"/>
      <c r="E40" s="90"/>
      <c r="F40" s="60"/>
      <c r="G40" s="60"/>
      <c r="H40" s="89">
        <v>1.1000000000000001</v>
      </c>
      <c r="I40" s="92"/>
      <c r="J40" s="95">
        <v>4375</v>
      </c>
      <c r="K40" s="95">
        <v>4375</v>
      </c>
      <c r="L40" s="95">
        <v>3751</v>
      </c>
      <c r="M40" s="95">
        <v>3750</v>
      </c>
      <c r="N40" s="95">
        <v>3750</v>
      </c>
      <c r="O40" s="95">
        <v>3751</v>
      </c>
      <c r="P40" s="95">
        <v>3751</v>
      </c>
      <c r="Q40" s="95">
        <v>3751</v>
      </c>
      <c r="R40" s="68"/>
      <c r="S40" s="68"/>
      <c r="T40" s="68"/>
      <c r="U40" s="68"/>
      <c r="V40" s="68"/>
      <c r="W40" s="68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</row>
    <row r="41" spans="1:46" hidden="1">
      <c r="A41" s="69"/>
      <c r="B41" s="60"/>
      <c r="C41" s="60"/>
      <c r="D41" s="69"/>
      <c r="E41" s="69"/>
      <c r="F41" s="60"/>
      <c r="G41" s="60"/>
      <c r="H41" s="89">
        <v>1.2</v>
      </c>
      <c r="I41" s="92"/>
      <c r="J41" s="95">
        <v>4375</v>
      </c>
      <c r="K41" s="95">
        <v>4375</v>
      </c>
      <c r="L41" s="95">
        <v>3750</v>
      </c>
      <c r="M41" s="95">
        <v>3751</v>
      </c>
      <c r="N41" s="95">
        <v>3750</v>
      </c>
      <c r="O41" s="95">
        <v>3751</v>
      </c>
      <c r="P41" s="95">
        <v>3750</v>
      </c>
      <c r="Q41" s="95">
        <v>3750</v>
      </c>
      <c r="R41" s="68"/>
      <c r="S41" s="68"/>
      <c r="T41" s="68"/>
      <c r="U41" s="68"/>
      <c r="V41" s="68"/>
      <c r="W41" s="68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</row>
    <row r="42" spans="1:46" hidden="1">
      <c r="A42" s="69"/>
      <c r="B42" s="60"/>
      <c r="C42" s="60"/>
      <c r="D42" s="69"/>
      <c r="E42" s="69"/>
      <c r="F42" s="60"/>
      <c r="G42" s="60"/>
      <c r="H42" s="97"/>
      <c r="I42" s="92"/>
      <c r="J42" s="60"/>
      <c r="K42" s="95"/>
      <c r="L42" s="95"/>
      <c r="M42" s="95"/>
      <c r="N42" s="95"/>
      <c r="O42" s="95"/>
      <c r="P42" s="95"/>
      <c r="Q42" s="95"/>
      <c r="R42" s="68"/>
      <c r="S42" s="68"/>
      <c r="T42" s="68"/>
      <c r="U42" s="68"/>
      <c r="V42" s="68"/>
      <c r="W42" s="68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</row>
    <row r="43" spans="1:46" hidden="1">
      <c r="A43" s="69"/>
      <c r="B43" s="60"/>
      <c r="C43" s="60"/>
      <c r="D43" s="69"/>
      <c r="E43" s="69"/>
      <c r="F43" s="60"/>
      <c r="G43" s="60"/>
      <c r="H43" s="97"/>
      <c r="I43" s="92"/>
      <c r="J43" s="95"/>
      <c r="K43" s="95"/>
      <c r="L43" s="95"/>
      <c r="M43" s="95"/>
      <c r="N43" s="95"/>
      <c r="O43" s="95"/>
      <c r="P43" s="95"/>
      <c r="Q43" s="95"/>
      <c r="R43" s="68"/>
      <c r="S43" s="68"/>
      <c r="T43" s="68"/>
      <c r="U43" s="68"/>
      <c r="V43" s="68"/>
      <c r="W43" s="68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</row>
    <row r="44" spans="1:46" hidden="1">
      <c r="A44" s="69"/>
      <c r="B44" s="69"/>
      <c r="C44" s="69"/>
      <c r="D44" s="69"/>
      <c r="E44" s="60"/>
      <c r="F44" s="60"/>
      <c r="G44" s="60"/>
      <c r="H44" s="69"/>
      <c r="I44" s="69"/>
      <c r="J44" s="60"/>
      <c r="K44" s="60"/>
      <c r="L44" s="97"/>
      <c r="M44" s="92"/>
      <c r="N44" s="95"/>
      <c r="O44" s="95"/>
      <c r="P44" s="95"/>
      <c r="Q44" s="95"/>
      <c r="R44" s="95"/>
      <c r="S44" s="95"/>
      <c r="T44" s="95"/>
      <c r="U44" s="95"/>
      <c r="V44" s="68"/>
      <c r="W44" s="68"/>
      <c r="X44" s="68"/>
      <c r="Y44" s="68"/>
      <c r="Z44" s="68"/>
      <c r="AA44" s="68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</row>
    <row r="45" spans="1:46" hidden="1">
      <c r="A45" s="69"/>
      <c r="B45" s="69"/>
      <c r="C45" s="69"/>
      <c r="D45" s="69"/>
      <c r="E45" s="60"/>
      <c r="F45" s="60"/>
      <c r="G45" s="60"/>
      <c r="H45" s="69"/>
      <c r="I45" s="69"/>
      <c r="J45" s="60"/>
      <c r="K45" s="60"/>
      <c r="L45" s="97"/>
      <c r="M45" s="92"/>
      <c r="N45" s="95"/>
      <c r="O45" s="95"/>
      <c r="P45" s="95"/>
      <c r="Q45" s="95"/>
      <c r="R45" s="95"/>
      <c r="S45" s="95"/>
      <c r="T45" s="95"/>
      <c r="U45" s="95"/>
      <c r="V45" s="68"/>
      <c r="W45" s="68"/>
      <c r="X45" s="68"/>
      <c r="Y45" s="68"/>
      <c r="Z45" s="68"/>
      <c r="AA45" s="68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</row>
    <row r="46" spans="1:46" hidden="1">
      <c r="A46" s="69"/>
      <c r="B46" s="69"/>
      <c r="C46" s="69"/>
      <c r="D46" s="69"/>
      <c r="E46" s="60"/>
      <c r="F46" s="60"/>
      <c r="G46" s="60"/>
      <c r="H46" s="69"/>
      <c r="I46" s="69"/>
      <c r="J46" s="60"/>
      <c r="K46" s="60"/>
      <c r="L46" s="97"/>
      <c r="M46" s="92"/>
      <c r="N46" s="95"/>
      <c r="O46" s="95"/>
      <c r="P46" s="95"/>
      <c r="Q46" s="95"/>
      <c r="R46" s="95"/>
      <c r="S46" s="95"/>
      <c r="T46" s="95"/>
      <c r="U46" s="95"/>
      <c r="V46" s="68"/>
      <c r="W46" s="68"/>
      <c r="X46" s="68"/>
      <c r="Y46" s="68"/>
      <c r="Z46" s="68"/>
      <c r="AA46" s="68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</row>
    <row r="47" spans="1:46" ht="23.25" hidden="1">
      <c r="A47" s="69"/>
      <c r="B47" s="69"/>
      <c r="C47" s="69"/>
      <c r="D47" s="69"/>
      <c r="E47" s="60"/>
      <c r="F47" s="98"/>
      <c r="G47" s="99"/>
      <c r="H47" s="100"/>
      <c r="I47" s="100"/>
      <c r="J47" s="99"/>
      <c r="K47" s="99"/>
      <c r="L47" s="101"/>
      <c r="M47" s="102"/>
      <c r="N47" s="102"/>
      <c r="O47" s="102"/>
      <c r="P47" s="102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</row>
    <row r="48" spans="1:46" ht="20.25" hidden="1">
      <c r="A48" s="68"/>
      <c r="B48" s="69"/>
      <c r="C48" s="69"/>
      <c r="D48" s="69"/>
      <c r="E48" s="60"/>
      <c r="F48" s="103"/>
      <c r="G48" s="102" t="s">
        <v>16</v>
      </c>
      <c r="H48" s="104" t="s">
        <v>17</v>
      </c>
      <c r="I48" s="102" t="s">
        <v>18</v>
      </c>
      <c r="J48" s="105" t="s">
        <v>19</v>
      </c>
      <c r="K48" s="102"/>
      <c r="L48" s="106"/>
      <c r="M48" s="107"/>
      <c r="N48" s="106" t="s">
        <v>20</v>
      </c>
      <c r="O48" s="108"/>
      <c r="P48" s="109">
        <v>0.24</v>
      </c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</row>
    <row r="49" spans="1:46" ht="20.25" hidden="1">
      <c r="A49" s="110" t="s">
        <v>21</v>
      </c>
      <c r="B49" s="110"/>
      <c r="C49" s="110"/>
      <c r="D49" s="110"/>
      <c r="E49" s="60"/>
      <c r="F49" s="111"/>
      <c r="G49" s="102" t="s">
        <v>22</v>
      </c>
      <c r="H49" s="104" t="s">
        <v>23</v>
      </c>
      <c r="I49" s="102" t="s">
        <v>24</v>
      </c>
      <c r="J49" s="105" t="s">
        <v>19</v>
      </c>
      <c r="K49" s="102"/>
      <c r="L49" s="112"/>
      <c r="M49" s="107"/>
      <c r="N49" s="112" t="s">
        <v>25</v>
      </c>
      <c r="O49" s="113"/>
      <c r="P49" s="109">
        <v>0.26</v>
      </c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</row>
    <row r="50" spans="1:46" ht="20.25" hidden="1">
      <c r="A50" s="60"/>
      <c r="B50" s="60"/>
      <c r="C50" s="60"/>
      <c r="D50" s="69"/>
      <c r="E50" s="60"/>
      <c r="F50" s="111"/>
      <c r="G50" s="114" t="s">
        <v>26</v>
      </c>
      <c r="H50" s="115" t="s">
        <v>27</v>
      </c>
      <c r="I50" s="116" t="s">
        <v>28</v>
      </c>
      <c r="J50" s="95" t="s">
        <v>29</v>
      </c>
      <c r="K50" s="60"/>
      <c r="L50" s="112"/>
      <c r="M50" s="107"/>
      <c r="N50" s="112" t="s">
        <v>30</v>
      </c>
      <c r="O50" s="113"/>
      <c r="P50" s="117" t="s">
        <v>31</v>
      </c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</row>
    <row r="51" spans="1:46" ht="20.25" hidden="1">
      <c r="A51" s="60"/>
      <c r="B51" s="118"/>
      <c r="C51" s="118"/>
      <c r="D51" s="60"/>
      <c r="E51" s="60"/>
      <c r="F51" s="119"/>
      <c r="G51" s="120"/>
      <c r="H51" s="121"/>
      <c r="I51" s="121"/>
      <c r="J51" s="120"/>
      <c r="K51" s="120"/>
      <c r="L51" s="122"/>
      <c r="M51" s="60"/>
      <c r="N51" s="60"/>
      <c r="O51" s="60"/>
      <c r="P51" s="60"/>
      <c r="Q51" s="60"/>
      <c r="R51" s="60"/>
      <c r="S51" s="60"/>
      <c r="T51" s="60"/>
      <c r="U51" s="123"/>
      <c r="V51" s="123"/>
      <c r="W51" s="123"/>
      <c r="X51" s="124"/>
      <c r="Y51" s="60"/>
      <c r="Z51" s="60"/>
      <c r="AA51" s="125" t="s">
        <v>32</v>
      </c>
      <c r="AB51" s="60"/>
      <c r="AC51" s="60"/>
      <c r="AD51" s="60"/>
      <c r="AE51" s="60"/>
      <c r="AF51" s="126"/>
      <c r="AG51" s="127"/>
      <c r="AH51" s="60"/>
      <c r="AI51" s="128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</row>
    <row r="52" spans="1:46" ht="20.25" hidden="1">
      <c r="A52" s="60"/>
      <c r="B52" s="129"/>
      <c r="C52" s="130"/>
      <c r="D52" s="130"/>
      <c r="E52" s="60"/>
      <c r="F52" s="774" t="s">
        <v>33</v>
      </c>
      <c r="G52" s="770"/>
      <c r="H52" s="770"/>
      <c r="I52" s="131"/>
      <c r="J52" s="132"/>
      <c r="K52" s="131"/>
      <c r="L52" s="60"/>
      <c r="M52" s="60"/>
      <c r="N52" s="60"/>
      <c r="O52" s="60"/>
      <c r="P52" s="60"/>
      <c r="Q52" s="60"/>
      <c r="R52" s="60"/>
      <c r="S52" s="60"/>
      <c r="T52" s="60"/>
      <c r="U52" s="133"/>
      <c r="V52" s="133"/>
      <c r="W52" s="133"/>
      <c r="X52" s="124"/>
      <c r="Y52" s="60"/>
      <c r="Z52" s="60"/>
      <c r="AA52" s="60"/>
      <c r="AB52" s="60"/>
      <c r="AC52" s="60"/>
      <c r="AD52" s="60"/>
      <c r="AE52" s="60"/>
      <c r="AF52" s="126"/>
      <c r="AG52" s="127"/>
      <c r="AH52" s="60"/>
      <c r="AI52" s="128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</row>
    <row r="53" spans="1:46" ht="20.25" hidden="1">
      <c r="A53" s="60"/>
      <c r="B53" s="134"/>
      <c r="C53" s="135"/>
      <c r="D53" s="60"/>
      <c r="E53" s="60"/>
      <c r="F53" s="775" t="s">
        <v>34</v>
      </c>
      <c r="G53" s="770"/>
      <c r="H53" s="60"/>
      <c r="I53" s="69"/>
      <c r="J53" s="136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126"/>
      <c r="AL53" s="60"/>
      <c r="AM53" s="60"/>
      <c r="AN53" s="60"/>
      <c r="AO53" s="60"/>
      <c r="AP53" s="60"/>
      <c r="AQ53" s="60"/>
      <c r="AR53" s="60"/>
      <c r="AS53" s="60"/>
      <c r="AT53" s="60"/>
    </row>
    <row r="54" spans="1:46" ht="26.25" hidden="1">
      <c r="A54" s="60"/>
      <c r="B54" s="60"/>
      <c r="C54" s="137"/>
      <c r="D54" s="60"/>
      <c r="E54" s="60"/>
      <c r="F54" s="776" t="s">
        <v>35</v>
      </c>
      <c r="G54" s="763"/>
      <c r="H54" s="138"/>
      <c r="I54" s="69"/>
      <c r="J54" s="136"/>
      <c r="K54" s="60"/>
      <c r="L54" s="637" t="e">
        <f>Indiceproljorsep22*1.7645/1.6945</f>
        <v>#REF!</v>
      </c>
      <c r="M54" s="60"/>
      <c r="N54" s="60"/>
      <c r="O54" s="60"/>
      <c r="P54" s="60"/>
      <c r="Q54" s="637"/>
      <c r="R54" s="60"/>
      <c r="S54" s="60"/>
      <c r="T54" s="60"/>
      <c r="U54" s="60"/>
      <c r="V54" s="60"/>
      <c r="W54" s="139" t="s">
        <v>36</v>
      </c>
      <c r="X54" s="60"/>
      <c r="Y54" s="60"/>
      <c r="Z54" s="140"/>
      <c r="AA54" s="60"/>
      <c r="AB54" s="139" t="s">
        <v>36</v>
      </c>
      <c r="AC54" s="60"/>
      <c r="AD54" s="60"/>
      <c r="AE54" s="139" t="s">
        <v>36</v>
      </c>
      <c r="AF54" s="60"/>
      <c r="AG54" s="60"/>
      <c r="AH54" s="140"/>
      <c r="AI54" s="60"/>
      <c r="AJ54" s="60"/>
      <c r="AK54" s="141"/>
      <c r="AL54" s="60"/>
      <c r="AM54" s="142"/>
      <c r="AN54" s="60"/>
      <c r="AO54" s="60"/>
      <c r="AP54" s="60"/>
      <c r="AQ54" s="60"/>
      <c r="AR54" s="60"/>
      <c r="AS54" s="60"/>
      <c r="AT54" s="60"/>
    </row>
    <row r="55" spans="1:46" hidden="1">
      <c r="A55" s="60"/>
      <c r="B55" s="14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37" t="e">
        <f>indicenov22/1.9445*1.998</f>
        <v>#REF!</v>
      </c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8"/>
      <c r="AE55" s="142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</row>
    <row r="56" spans="1:46" ht="12.75" hidden="1">
      <c r="A56" s="60"/>
      <c r="B56" s="60" t="s">
        <v>37</v>
      </c>
      <c r="C56" s="599">
        <v>1.08</v>
      </c>
      <c r="D56" s="60" t="s">
        <v>505</v>
      </c>
      <c r="E56" s="637">
        <v>38.534799999999997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</row>
    <row r="57" spans="1:46" ht="12.75" hidden="1">
      <c r="A57" s="60"/>
      <c r="B57" s="60" t="s">
        <v>38</v>
      </c>
      <c r="C57" s="599">
        <v>1.27</v>
      </c>
      <c r="D57" s="60" t="s">
        <v>506</v>
      </c>
      <c r="E57" s="637">
        <v>66.586100000000002</v>
      </c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</row>
    <row r="58" spans="1:46" ht="12.75" hidden="1">
      <c r="A58" s="60"/>
      <c r="B58" s="60" t="s">
        <v>39</v>
      </c>
      <c r="C58" s="599">
        <v>1.4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</row>
    <row r="59" spans="1:46" ht="12.75" hidden="1">
      <c r="A59" s="60"/>
      <c r="B59" s="60" t="s">
        <v>40</v>
      </c>
      <c r="C59" s="599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</row>
    <row r="60" spans="1:46" ht="12.75" hidden="1">
      <c r="A60" s="60"/>
      <c r="B60" s="60" t="s">
        <v>41</v>
      </c>
      <c r="C60" s="599"/>
      <c r="D60" s="60" t="s">
        <v>500</v>
      </c>
      <c r="E60" s="600">
        <v>1.7645</v>
      </c>
      <c r="F60" s="60"/>
      <c r="G60" s="60"/>
      <c r="H60" s="60">
        <v>100</v>
      </c>
      <c r="I60" s="60"/>
      <c r="J60" s="60"/>
      <c r="K60" s="60"/>
      <c r="L60" s="60"/>
      <c r="M60" s="60"/>
      <c r="N60" s="60"/>
      <c r="O60" s="60"/>
      <c r="P60" s="60"/>
      <c r="Q60" s="637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</row>
    <row r="61" spans="1:46" ht="12.75" hidden="1">
      <c r="A61" s="60"/>
      <c r="B61" s="144" t="s">
        <v>483</v>
      </c>
      <c r="C61" s="600"/>
      <c r="D61" s="60" t="s">
        <v>501</v>
      </c>
      <c r="E61" s="600">
        <v>1.9444999999999999</v>
      </c>
      <c r="F61" s="60"/>
      <c r="G61" s="60"/>
      <c r="H61" s="60">
        <v>121.21</v>
      </c>
      <c r="I61" s="60">
        <v>21.21</v>
      </c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</row>
    <row r="62" spans="1:46" ht="12.75" hidden="1">
      <c r="A62" s="60"/>
      <c r="B62" s="145"/>
      <c r="C62" s="60"/>
      <c r="D62" s="146"/>
      <c r="E62" s="95"/>
      <c r="F62" s="60"/>
      <c r="G62" s="60"/>
      <c r="H62" s="60">
        <v>129.29</v>
      </c>
      <c r="I62" s="60">
        <v>29.29</v>
      </c>
      <c r="J62" s="573">
        <f>8.08/H61</f>
        <v>6.6661166570414987E-2</v>
      </c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</row>
    <row r="63" spans="1:46" ht="15" hidden="1">
      <c r="A63" s="60"/>
      <c r="B63" s="145"/>
      <c r="C63" s="60"/>
      <c r="D63" s="60">
        <v>124104481</v>
      </c>
      <c r="E63" s="95"/>
      <c r="F63" s="60"/>
      <c r="G63" s="60"/>
      <c r="H63" s="147">
        <v>145.44999999999999</v>
      </c>
      <c r="I63" s="147">
        <v>45.45</v>
      </c>
      <c r="J63" s="574">
        <f>16.16/H62</f>
        <v>0.12499033181220513</v>
      </c>
      <c r="K63" s="147"/>
      <c r="L63" s="147"/>
      <c r="M63" s="147"/>
      <c r="N63" s="147"/>
      <c r="O63" s="147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</row>
    <row r="64" spans="1:46" ht="14.25" hidden="1">
      <c r="A64" s="60"/>
      <c r="B64" s="145"/>
      <c r="C64" s="60"/>
      <c r="D64" s="95" t="s">
        <v>42</v>
      </c>
      <c r="E64" s="148">
        <v>2900000847</v>
      </c>
      <c r="F64" s="60"/>
      <c r="G64" s="60"/>
      <c r="H64" s="149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</row>
    <row r="65" spans="1:46" ht="14.25" hidden="1">
      <c r="A65" s="60"/>
      <c r="B65" s="145"/>
      <c r="C65" s="60"/>
      <c r="D65" s="60"/>
      <c r="E65" s="148"/>
      <c r="F65" s="60"/>
      <c r="G65" s="60"/>
      <c r="H65" s="149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</row>
    <row r="66" spans="1:46" ht="16.5" thickBot="1">
      <c r="A66" s="150"/>
      <c r="B66" s="151" t="s">
        <v>43</v>
      </c>
      <c r="C66" s="60"/>
      <c r="D66" s="60"/>
      <c r="E66" s="60"/>
      <c r="F66" s="60"/>
      <c r="G66" s="60"/>
      <c r="H66" s="148"/>
      <c r="I66" s="60"/>
      <c r="J66" s="60"/>
      <c r="K66" s="149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</row>
    <row r="67" spans="1:46" ht="16.5" thickBot="1">
      <c r="A67" s="150"/>
      <c r="B67" s="683" t="s">
        <v>497</v>
      </c>
      <c r="C67" s="60"/>
      <c r="D67" s="60"/>
      <c r="E67" s="60"/>
      <c r="F67" s="60"/>
      <c r="G67" s="60"/>
      <c r="H67" s="148"/>
      <c r="I67" s="60"/>
      <c r="J67" s="60"/>
      <c r="K67" s="149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</row>
    <row r="68" spans="1:46" ht="16.5" thickBot="1">
      <c r="A68" s="152"/>
      <c r="B68" s="684" t="s">
        <v>498</v>
      </c>
      <c r="C68" s="60"/>
      <c r="D68" s="60"/>
      <c r="E68" s="60"/>
      <c r="F68" s="60"/>
      <c r="G68" s="60"/>
      <c r="H68" s="60"/>
      <c r="I68" s="60"/>
      <c r="J68" s="60"/>
      <c r="K68" s="149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</row>
    <row r="69" spans="1:46" ht="16.5" thickBot="1">
      <c r="A69" s="153"/>
      <c r="B69" s="684" t="s">
        <v>499</v>
      </c>
      <c r="C69" s="60"/>
      <c r="D69" s="60"/>
      <c r="E69" s="60"/>
      <c r="F69" s="60"/>
      <c r="G69" s="60"/>
      <c r="H69" s="60"/>
      <c r="I69" s="60"/>
      <c r="J69" s="60"/>
      <c r="K69" s="149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</row>
    <row r="70" spans="1:46" ht="14.25">
      <c r="A70" s="60"/>
      <c r="B70" s="144"/>
      <c r="C70" s="60"/>
      <c r="D70" s="60"/>
      <c r="E70" s="60"/>
      <c r="F70" s="60"/>
      <c r="G70" s="60"/>
      <c r="H70" s="60"/>
      <c r="I70" s="60"/>
      <c r="J70" s="60"/>
      <c r="K70" s="149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</row>
    <row r="71" spans="1:46" ht="26.25">
      <c r="A71" s="60"/>
      <c r="B71" s="60"/>
      <c r="C71" s="139" t="s">
        <v>36</v>
      </c>
      <c r="D71" s="60"/>
      <c r="E71" s="154"/>
      <c r="F71" s="60"/>
      <c r="G71" s="60"/>
      <c r="H71" s="60"/>
      <c r="I71" s="60"/>
      <c r="J71" s="60"/>
      <c r="K71" s="149"/>
      <c r="L71" s="155"/>
      <c r="M71" s="155"/>
      <c r="N71" s="155"/>
      <c r="O71" s="155"/>
      <c r="P71" s="155"/>
      <c r="Q71" s="155"/>
      <c r="R71" s="155"/>
      <c r="S71" s="156"/>
      <c r="T71" s="107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</row>
    <row r="72" spans="1:46" ht="18">
      <c r="A72" s="773" t="s">
        <v>44</v>
      </c>
      <c r="B72" s="770"/>
      <c r="C72" s="770"/>
      <c r="D72" s="770"/>
      <c r="E72" s="154"/>
      <c r="F72" s="60"/>
      <c r="G72" s="60"/>
      <c r="H72" s="60"/>
      <c r="I72" s="60"/>
      <c r="J72" s="60"/>
      <c r="K72" s="149"/>
      <c r="L72" s="60"/>
      <c r="M72" s="60"/>
      <c r="N72" s="60"/>
      <c r="O72" s="60"/>
      <c r="P72" s="60"/>
      <c r="Q72" s="60"/>
      <c r="R72" s="60"/>
      <c r="S72" s="157"/>
      <c r="T72" s="107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</row>
    <row r="73" spans="1:46" ht="18">
      <c r="A73" s="158" t="s">
        <v>45</v>
      </c>
      <c r="B73" s="159" t="s">
        <v>46</v>
      </c>
      <c r="C73" s="159" t="s">
        <v>47</v>
      </c>
      <c r="D73" s="160" t="s">
        <v>48</v>
      </c>
      <c r="E73" s="160" t="s">
        <v>49</v>
      </c>
      <c r="F73" s="79" t="s">
        <v>50</v>
      </c>
      <c r="G73" s="158" t="s">
        <v>51</v>
      </c>
      <c r="H73" s="159" t="s">
        <v>52</v>
      </c>
      <c r="I73" s="144" t="s">
        <v>488</v>
      </c>
      <c r="J73" s="580" t="s">
        <v>493</v>
      </c>
      <c r="K73" s="149"/>
      <c r="L73" s="60"/>
      <c r="M73" s="60"/>
      <c r="N73" s="60"/>
      <c r="O73" s="60"/>
      <c r="P73" s="60"/>
      <c r="Q73" s="60"/>
      <c r="R73" s="60"/>
      <c r="S73" s="124"/>
      <c r="T73" s="107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</row>
    <row r="74" spans="1:46" ht="18.75" thickBot="1">
      <c r="A74" s="513">
        <v>749</v>
      </c>
      <c r="B74" s="514">
        <f>LOOKUP(A74,numcargo,punbascargo)</f>
        <v>971</v>
      </c>
      <c r="C74" s="514">
        <f>LOOKUP(A74,numcargo,puntardifcargo)</f>
        <v>0</v>
      </c>
      <c r="D74" s="515">
        <f>LOOKUP(A74,numcargo,punproljorcargo)</f>
        <v>0</v>
      </c>
      <c r="E74" s="516">
        <f>LOOKUP(A74,numcargo,punjorcomcargo)</f>
        <v>0</v>
      </c>
      <c r="F74" s="657">
        <f>LOOKUP(A74,numcargo,compbas16)</f>
        <v>414.7</v>
      </c>
      <c r="G74" s="658">
        <f>LOOKUP(A74,numcargo,adicdir2016)</f>
        <v>0</v>
      </c>
      <c r="H74" s="530">
        <f>IF(AND(D78=1,LOOKUP(A74,numcargo,adicnina)&gt;0),LOOKUP(A74,numcargo,adicnina),0)</f>
        <v>0</v>
      </c>
      <c r="I74" s="125">
        <f>LOOKUP(A74,numcargo,adicdir2022)</f>
        <v>0</v>
      </c>
      <c r="J74" s="581">
        <f>IF(AND(exten=1,LOOKUP(A74,numcargo,punexten)&gt;0),LOOKUP(A74,numcargo,punexten),0)</f>
        <v>0</v>
      </c>
      <c r="K74" s="149"/>
      <c r="L74" s="60"/>
      <c r="M74" s="60"/>
      <c r="N74" s="60"/>
      <c r="O74" s="60"/>
      <c r="P74" s="60"/>
      <c r="Q74" s="60"/>
      <c r="R74" s="60"/>
      <c r="S74" s="133"/>
      <c r="T74" s="107"/>
      <c r="U74" s="69"/>
      <c r="V74" s="69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</row>
    <row r="75" spans="1:46" ht="18">
      <c r="A75" s="164" t="s">
        <v>53</v>
      </c>
      <c r="B75" s="165"/>
      <c r="C75" s="757" t="str">
        <f>LOOKUP(A74,numcargo,nombrecargo)</f>
        <v>MAESTRO DE GRADO</v>
      </c>
      <c r="D75" s="165"/>
      <c r="E75" s="166"/>
      <c r="F75" s="666" t="str">
        <f>A74&amp;""</f>
        <v>749</v>
      </c>
      <c r="G75" s="729" t="str">
        <f>C75</f>
        <v>MAESTRO DE GRADO</v>
      </c>
      <c r="H75" s="730"/>
      <c r="I75" s="659">
        <f>porantigcargo</f>
        <v>0</v>
      </c>
      <c r="J75" s="107"/>
      <c r="K75" s="69"/>
      <c r="L75" s="69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</row>
    <row r="76" spans="1:46" ht="15">
      <c r="A76" s="167" t="s">
        <v>54</v>
      </c>
      <c r="B76" s="167"/>
      <c r="C76" s="167"/>
      <c r="D76" s="167"/>
      <c r="E76" s="60"/>
      <c r="F76" s="660">
        <v>44927</v>
      </c>
      <c r="G76" s="661">
        <v>44958</v>
      </c>
      <c r="H76" s="661">
        <v>44986</v>
      </c>
      <c r="I76" s="661">
        <v>45047</v>
      </c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</row>
    <row r="77" spans="1:46" ht="21" thickBot="1">
      <c r="A77" s="168"/>
      <c r="B77" s="60"/>
      <c r="C77" s="60"/>
      <c r="D77" s="128"/>
      <c r="E77" s="60"/>
      <c r="F77" s="662">
        <f>N82</f>
        <v>102730.99999999997</v>
      </c>
      <c r="G77" s="663">
        <f>K82</f>
        <v>109980.99999999999</v>
      </c>
      <c r="H77" s="663">
        <f>H82</f>
        <v>130287.00000000003</v>
      </c>
      <c r="I77" s="663">
        <f>E82</f>
        <v>142069</v>
      </c>
      <c r="J77" s="60"/>
      <c r="K77" s="60"/>
      <c r="L77" s="725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</row>
    <row r="78" spans="1:46" ht="16.5" thickTop="1">
      <c r="A78" s="60"/>
      <c r="B78" s="760" t="s">
        <v>55</v>
      </c>
      <c r="C78" s="761"/>
      <c r="D78" s="614">
        <v>0</v>
      </c>
      <c r="E78" s="169" t="s">
        <v>56</v>
      </c>
      <c r="F78" s="667" t="s">
        <v>485</v>
      </c>
      <c r="G78" s="664">
        <f t="shared" ref="G78:H78" si="7">G77-$F77</f>
        <v>7250.0000000000146</v>
      </c>
      <c r="H78" s="664">
        <f t="shared" si="7"/>
        <v>27556.000000000058</v>
      </c>
      <c r="I78" s="664">
        <f t="shared" ref="I78" si="8">I77-$F77</f>
        <v>39338.000000000029</v>
      </c>
      <c r="J78" s="60"/>
      <c r="K78" s="60"/>
      <c r="L78" s="726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151"/>
      <c r="AG78" s="60"/>
      <c r="AH78" s="60"/>
      <c r="AI78" s="60"/>
      <c r="AJ78" s="60"/>
      <c r="AK78" s="60"/>
      <c r="AL78" s="60"/>
    </row>
    <row r="79" spans="1:46" ht="18.75" thickBot="1">
      <c r="A79" s="60"/>
      <c r="B79" s="762" t="s">
        <v>57</v>
      </c>
      <c r="C79" s="763"/>
      <c r="D79" s="615">
        <v>0</v>
      </c>
      <c r="E79" s="60" t="s">
        <v>491</v>
      </c>
      <c r="F79" s="668" t="s">
        <v>489</v>
      </c>
      <c r="G79" s="665">
        <f t="shared" ref="G79:H79" si="9">G78/$F77</f>
        <v>7.0572660637977014E-2</v>
      </c>
      <c r="H79" s="665">
        <f t="shared" si="9"/>
        <v>0.26823451538484067</v>
      </c>
      <c r="I79" s="665">
        <f t="shared" ref="I79" si="10">I78/$F77</f>
        <v>0.38292238954161878</v>
      </c>
      <c r="J79" s="60"/>
      <c r="K79" s="60"/>
      <c r="L79" s="60"/>
      <c r="M79" s="60"/>
      <c r="N79" s="60"/>
      <c r="O79" s="17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</row>
    <row r="80" spans="1:46" ht="16.5" thickBot="1">
      <c r="A80" s="60"/>
      <c r="B80" s="616"/>
      <c r="C80" s="617"/>
      <c r="D80" s="618">
        <f>LOOKUP(D79,escalaañosantig,escalaporcantig)</f>
        <v>0</v>
      </c>
      <c r="F80" s="751" t="s">
        <v>512</v>
      </c>
      <c r="G80" s="753">
        <f>L130</f>
        <v>7.9994703798921082E-2</v>
      </c>
      <c r="H80" s="753">
        <f>I130</f>
        <v>0.2699959175116689</v>
      </c>
      <c r="I80" s="753">
        <f>F130</f>
        <v>0.39999558649910122</v>
      </c>
      <c r="Q80" s="60"/>
      <c r="R80" s="60"/>
      <c r="S80" s="60"/>
      <c r="T80" s="60"/>
      <c r="U80" s="83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</row>
    <row r="81" spans="1:48" ht="16.5" thickTop="1">
      <c r="A81" s="60"/>
      <c r="B81" s="764" t="s">
        <v>59</v>
      </c>
      <c r="C81" s="765"/>
      <c r="D81" s="754">
        <v>0</v>
      </c>
      <c r="E81" s="613" t="s">
        <v>58</v>
      </c>
      <c r="F81" s="641"/>
      <c r="G81" s="641"/>
      <c r="H81" s="613" t="s">
        <v>58</v>
      </c>
      <c r="I81" s="641"/>
      <c r="J81" s="641"/>
      <c r="K81" s="613" t="s">
        <v>58</v>
      </c>
      <c r="L81" s="641"/>
      <c r="M81" s="641"/>
      <c r="N81" s="613" t="s">
        <v>58</v>
      </c>
      <c r="O81" s="641"/>
      <c r="P81" s="641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83"/>
      <c r="AB81" s="60"/>
      <c r="AC81" s="60"/>
      <c r="AD81" s="60"/>
      <c r="AE81" s="60"/>
      <c r="AF81" s="60"/>
      <c r="AG81" s="60"/>
      <c r="AH81" s="60"/>
      <c r="AI81" s="60"/>
      <c r="AJ81" s="60"/>
      <c r="AK81" s="60"/>
    </row>
    <row r="82" spans="1:48" ht="18">
      <c r="A82" s="60"/>
      <c r="B82" s="766" t="s">
        <v>60</v>
      </c>
      <c r="C82" s="765"/>
      <c r="D82" s="755">
        <f>PUNTOSbasicos</f>
        <v>971</v>
      </c>
      <c r="E82" s="648">
        <f>F181</f>
        <v>142069</v>
      </c>
      <c r="F82" s="685"/>
      <c r="G82" s="685"/>
      <c r="H82" s="648">
        <f>I181</f>
        <v>130287.00000000003</v>
      </c>
      <c r="I82" s="685"/>
      <c r="J82" s="685"/>
      <c r="K82" s="648">
        <f>L181</f>
        <v>109980.99999999999</v>
      </c>
      <c r="L82" s="685"/>
      <c r="M82" s="685"/>
      <c r="N82" s="648">
        <f>O181</f>
        <v>102730.99999999997</v>
      </c>
      <c r="O82" s="685"/>
      <c r="P82" s="685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83"/>
      <c r="AM82" s="60"/>
      <c r="AN82" s="60"/>
      <c r="AO82" s="60"/>
      <c r="AP82" s="60"/>
      <c r="AQ82" s="60"/>
      <c r="AR82" s="60"/>
      <c r="AS82" s="60"/>
      <c r="AT82" s="60"/>
      <c r="AU82" s="60"/>
      <c r="AV82" s="60"/>
    </row>
    <row r="83" spans="1:48" ht="18">
      <c r="A83" s="60"/>
      <c r="B83" s="767" t="s">
        <v>61</v>
      </c>
      <c r="C83" s="768"/>
      <c r="D83" s="756">
        <f>E74+D74</f>
        <v>0</v>
      </c>
      <c r="E83" s="642"/>
      <c r="F83" s="642"/>
      <c r="G83" s="642"/>
      <c r="H83" s="642"/>
      <c r="I83" s="642"/>
      <c r="J83" s="642"/>
      <c r="K83" s="642"/>
      <c r="L83" s="745">
        <f>10436/12</f>
        <v>869.66666666666663</v>
      </c>
      <c r="M83" s="642"/>
      <c r="N83" s="642"/>
      <c r="O83" s="642"/>
      <c r="P83" s="642"/>
      <c r="Q83" s="60"/>
      <c r="R83" s="60"/>
      <c r="S83" s="60"/>
      <c r="T83" s="60"/>
      <c r="U83" s="60"/>
      <c r="V83" s="60"/>
      <c r="W83" s="60"/>
      <c r="X83" s="60"/>
      <c r="Y83" s="173"/>
      <c r="Z83" s="60"/>
      <c r="AA83" s="60"/>
      <c r="AB83" s="60"/>
      <c r="AC83" s="60"/>
      <c r="AD83" s="60"/>
      <c r="AE83" s="60"/>
      <c r="AF83" s="60"/>
      <c r="AG83" s="60"/>
      <c r="AH83" s="60"/>
      <c r="AI83" s="60"/>
    </row>
    <row r="84" spans="1:48" ht="21" thickBot="1">
      <c r="A84" s="118"/>
      <c r="B84" s="619" t="s">
        <v>494</v>
      </c>
      <c r="C84" s="620"/>
      <c r="D84" s="621">
        <v>0</v>
      </c>
      <c r="E84" s="686"/>
      <c r="F84" s="686"/>
      <c r="G84" s="686"/>
      <c r="H84" s="686"/>
      <c r="I84" s="686"/>
      <c r="J84" s="686"/>
      <c r="K84" s="686"/>
      <c r="L84" s="686"/>
      <c r="M84" s="686"/>
      <c r="N84" s="686"/>
      <c r="O84" s="686"/>
      <c r="P84" s="686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6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</row>
    <row r="85" spans="1:48" thickTop="1">
      <c r="A85" s="118"/>
      <c r="B85" s="118"/>
      <c r="C85" s="118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</row>
    <row r="86" spans="1:48" ht="18">
      <c r="A86" s="118"/>
      <c r="B86" s="166"/>
      <c r="C86" s="166"/>
      <c r="D86" s="166"/>
      <c r="E86" s="40">
        <v>45047</v>
      </c>
      <c r="F86" s="693" t="s">
        <v>511</v>
      </c>
      <c r="G86" s="617"/>
      <c r="H86" s="40">
        <v>44986</v>
      </c>
      <c r="I86" s="693" t="s">
        <v>510</v>
      </c>
      <c r="J86" s="617"/>
      <c r="K86" s="40">
        <v>44958</v>
      </c>
      <c r="L86" s="744">
        <v>0.08</v>
      </c>
      <c r="M86" s="175"/>
      <c r="N86" s="40">
        <v>44927</v>
      </c>
      <c r="O86" s="693"/>
      <c r="P86" s="617"/>
      <c r="Q86" s="68"/>
      <c r="R86" s="68"/>
      <c r="S86" s="176"/>
      <c r="T86" s="177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</row>
    <row r="87" spans="1:48">
      <c r="A87" s="118"/>
      <c r="B87" s="178" t="s">
        <v>62</v>
      </c>
      <c r="C87" s="179" t="s">
        <v>63</v>
      </c>
      <c r="D87" s="180" t="s">
        <v>64</v>
      </c>
      <c r="E87" s="180" t="s">
        <v>65</v>
      </c>
      <c r="F87" s="180" t="s">
        <v>66</v>
      </c>
      <c r="G87" s="181"/>
      <c r="H87" s="180" t="s">
        <v>65</v>
      </c>
      <c r="I87" s="180" t="s">
        <v>66</v>
      </c>
      <c r="J87" s="181"/>
      <c r="K87" s="180" t="s">
        <v>65</v>
      </c>
      <c r="L87" s="180" t="s">
        <v>66</v>
      </c>
      <c r="M87" s="181"/>
      <c r="N87" s="180" t="s">
        <v>65</v>
      </c>
      <c r="O87" s="180" t="s">
        <v>66</v>
      </c>
      <c r="P87" s="181"/>
      <c r="Q87" s="68"/>
      <c r="R87" s="68"/>
      <c r="S87" s="176"/>
      <c r="T87" s="177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</row>
    <row r="88" spans="1:48" ht="15">
      <c r="A88" s="118"/>
      <c r="B88" s="476">
        <v>1</v>
      </c>
      <c r="C88" s="42"/>
      <c r="D88" s="42" t="s">
        <v>67</v>
      </c>
      <c r="E88" s="42">
        <f>E151</f>
        <v>52384.207119999992</v>
      </c>
      <c r="F88" s="42"/>
      <c r="G88" s="182"/>
      <c r="H88" s="42">
        <f>H151</f>
        <v>47519.959315999993</v>
      </c>
      <c r="I88" s="42"/>
      <c r="J88" s="182"/>
      <c r="K88" s="42">
        <f>K151</f>
        <v>40410.674063999999</v>
      </c>
      <c r="L88" s="42"/>
      <c r="M88" s="182"/>
      <c r="N88" s="42">
        <f>N151</f>
        <v>37417.290799999995</v>
      </c>
      <c r="O88" s="42"/>
      <c r="P88" s="182"/>
      <c r="Q88" s="118"/>
      <c r="R88" s="118"/>
      <c r="S88" s="118"/>
      <c r="T88" s="118"/>
      <c r="U88" s="118"/>
      <c r="V88" s="118"/>
      <c r="W88" s="118"/>
      <c r="X88" s="118"/>
      <c r="Y88" s="118"/>
    </row>
    <row r="89" spans="1:48">
      <c r="A89" s="118"/>
      <c r="B89" s="477">
        <v>2</v>
      </c>
      <c r="C89" s="43"/>
      <c r="D89" s="43" t="s">
        <v>68</v>
      </c>
      <c r="E89" s="43">
        <f>E152</f>
        <v>22372.534183999996</v>
      </c>
      <c r="F89" s="43"/>
      <c r="G89" s="182"/>
      <c r="H89" s="43">
        <f>H152</f>
        <v>20295.084581199997</v>
      </c>
      <c r="I89" s="43"/>
      <c r="J89" s="182"/>
      <c r="K89" s="43">
        <f>K152</f>
        <v>17258.8120848</v>
      </c>
      <c r="L89" s="43"/>
      <c r="M89" s="182"/>
      <c r="N89" s="43">
        <f>N152</f>
        <v>15980.381559999998</v>
      </c>
      <c r="O89" s="43"/>
      <c r="P89" s="182"/>
      <c r="Q89" s="68"/>
      <c r="R89" s="68"/>
      <c r="S89" s="176"/>
      <c r="T89" s="177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</row>
    <row r="90" spans="1:48" s="572" customFormat="1">
      <c r="A90" s="118"/>
      <c r="B90" s="582" t="s">
        <v>495</v>
      </c>
      <c r="C90" s="583"/>
      <c r="D90" s="584" t="s">
        <v>494</v>
      </c>
      <c r="E90" s="583">
        <f>E153</f>
        <v>0</v>
      </c>
      <c r="F90" s="583"/>
      <c r="G90" s="585"/>
      <c r="H90" s="583">
        <f>H153</f>
        <v>0</v>
      </c>
      <c r="I90" s="583"/>
      <c r="J90" s="585"/>
      <c r="K90" s="583">
        <f>K153</f>
        <v>0</v>
      </c>
      <c r="L90" s="583"/>
      <c r="M90" s="585"/>
      <c r="N90" s="583">
        <f>N153</f>
        <v>0</v>
      </c>
      <c r="O90" s="583"/>
      <c r="P90" s="585"/>
      <c r="Q90" s="68"/>
      <c r="R90" s="68"/>
      <c r="S90" s="176"/>
      <c r="T90" s="177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</row>
    <row r="91" spans="1:48">
      <c r="A91" s="118"/>
      <c r="B91" s="478" t="s">
        <v>69</v>
      </c>
      <c r="C91" s="42"/>
      <c r="D91" s="42" t="s">
        <v>70</v>
      </c>
      <c r="E91" s="42">
        <f t="shared" ref="E91:E102" si="11">E154</f>
        <v>0</v>
      </c>
      <c r="F91" s="42"/>
      <c r="G91" s="182"/>
      <c r="H91" s="42">
        <f t="shared" ref="H91:H102" si="12">H154</f>
        <v>0</v>
      </c>
      <c r="I91" s="42"/>
      <c r="J91" s="182"/>
      <c r="K91" s="42">
        <f t="shared" ref="K91:K102" si="13">K154</f>
        <v>0</v>
      </c>
      <c r="L91" s="42"/>
      <c r="M91" s="182"/>
      <c r="N91" s="42">
        <f t="shared" ref="N91:N102" si="14">N154</f>
        <v>0</v>
      </c>
      <c r="O91" s="42"/>
      <c r="P91" s="182"/>
      <c r="Q91" s="68"/>
      <c r="R91" s="68"/>
      <c r="S91" s="176"/>
      <c r="T91" s="177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</row>
    <row r="92" spans="1:48">
      <c r="A92" s="118"/>
      <c r="B92" s="477">
        <v>5</v>
      </c>
      <c r="C92" s="43"/>
      <c r="D92" s="43" t="s">
        <v>71</v>
      </c>
      <c r="E92" s="43">
        <f t="shared" si="11"/>
        <v>0</v>
      </c>
      <c r="F92" s="43"/>
      <c r="G92" s="182"/>
      <c r="H92" s="43">
        <f t="shared" si="12"/>
        <v>0</v>
      </c>
      <c r="I92" s="43"/>
      <c r="J92" s="182"/>
      <c r="K92" s="43">
        <f t="shared" si="13"/>
        <v>0</v>
      </c>
      <c r="L92" s="43"/>
      <c r="M92" s="182"/>
      <c r="N92" s="43">
        <f t="shared" si="14"/>
        <v>0</v>
      </c>
      <c r="O92" s="43"/>
      <c r="P92" s="182"/>
      <c r="Q92" s="68"/>
      <c r="R92" s="68"/>
      <c r="S92" s="176"/>
      <c r="T92" s="177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</row>
    <row r="93" spans="1:48">
      <c r="A93" s="118"/>
      <c r="B93" s="478">
        <v>6</v>
      </c>
      <c r="C93" s="42"/>
      <c r="D93" s="42" t="s">
        <v>72</v>
      </c>
      <c r="E93" s="42">
        <f t="shared" si="11"/>
        <v>42016.799999999996</v>
      </c>
      <c r="F93" s="42"/>
      <c r="G93" s="182"/>
      <c r="H93" s="42">
        <f t="shared" si="12"/>
        <v>38115.24</v>
      </c>
      <c r="I93" s="42"/>
      <c r="J93" s="182"/>
      <c r="K93" s="42">
        <f t="shared" si="13"/>
        <v>32412.960000000003</v>
      </c>
      <c r="L93" s="42"/>
      <c r="M93" s="182"/>
      <c r="N93" s="42">
        <f t="shared" si="14"/>
        <v>30012</v>
      </c>
      <c r="O93" s="42"/>
      <c r="P93" s="182"/>
      <c r="Q93" s="68"/>
      <c r="R93" s="68"/>
      <c r="S93" s="176"/>
      <c r="T93" s="177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</row>
    <row r="94" spans="1:48">
      <c r="A94" s="118"/>
      <c r="B94" s="477">
        <v>10</v>
      </c>
      <c r="C94" s="610">
        <f>C157</f>
        <v>0</v>
      </c>
      <c r="D94" s="43" t="s">
        <v>73</v>
      </c>
      <c r="E94" s="43">
        <f t="shared" si="11"/>
        <v>0</v>
      </c>
      <c r="F94" s="43"/>
      <c r="G94" s="601"/>
      <c r="H94" s="43">
        <f t="shared" si="12"/>
        <v>0</v>
      </c>
      <c r="I94" s="43"/>
      <c r="J94" s="601"/>
      <c r="K94" s="43">
        <f t="shared" si="13"/>
        <v>0</v>
      </c>
      <c r="L94" s="43"/>
      <c r="M94" s="601"/>
      <c r="N94" s="43">
        <f t="shared" si="14"/>
        <v>0</v>
      </c>
      <c r="O94" s="43"/>
      <c r="P94" s="601"/>
      <c r="Q94" s="68"/>
      <c r="R94" s="68"/>
      <c r="S94" s="176"/>
      <c r="T94" s="177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</row>
    <row r="95" spans="1:48">
      <c r="A95" s="118"/>
      <c r="B95" s="478">
        <v>14</v>
      </c>
      <c r="C95" s="612">
        <v>7.0000000000000007E-2</v>
      </c>
      <c r="D95" s="42" t="s">
        <v>74</v>
      </c>
      <c r="E95" s="42">
        <f t="shared" si="11"/>
        <v>2941.1759999999999</v>
      </c>
      <c r="F95" s="42"/>
      <c r="G95" s="602">
        <f t="shared" ref="G95:G103" si="15">G158</f>
        <v>25205.861548659515</v>
      </c>
      <c r="H95" s="42">
        <f t="shared" si="12"/>
        <v>2668.0668000000001</v>
      </c>
      <c r="I95" s="42"/>
      <c r="J95" s="602">
        <f t="shared" ref="J95:J103" si="16">J158</f>
        <v>22865.309020557019</v>
      </c>
      <c r="K95" s="42">
        <f t="shared" si="13"/>
        <v>2268.9072000000006</v>
      </c>
      <c r="L95" s="42"/>
      <c r="M95" s="602">
        <f t="shared" ref="M95:M103" si="17">M158</f>
        <v>19444.323971518421</v>
      </c>
      <c r="N95" s="42">
        <f t="shared" si="14"/>
        <v>2100.84</v>
      </c>
      <c r="O95" s="42"/>
      <c r="P95" s="602">
        <f t="shared" ref="P95:P103" si="18">P158</f>
        <v>18004.516478121594</v>
      </c>
      <c r="Q95" s="68"/>
      <c r="R95" s="68"/>
      <c r="S95" s="176"/>
      <c r="T95" s="177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</row>
    <row r="96" spans="1:48">
      <c r="A96" s="118"/>
      <c r="B96" s="477">
        <v>188</v>
      </c>
      <c r="C96" s="610">
        <v>7.0000000000000007E-2</v>
      </c>
      <c r="D96" s="43" t="s">
        <v>75</v>
      </c>
      <c r="E96" s="43">
        <f t="shared" si="11"/>
        <v>7306.6721596861662</v>
      </c>
      <c r="F96" s="43"/>
      <c r="G96" s="601"/>
      <c r="H96" s="43">
        <f t="shared" si="12"/>
        <v>6628.1948822429913</v>
      </c>
      <c r="I96" s="43"/>
      <c r="J96" s="601"/>
      <c r="K96" s="43">
        <f t="shared" si="13"/>
        <v>5636.5618204222901</v>
      </c>
      <c r="L96" s="43"/>
      <c r="M96" s="601"/>
      <c r="N96" s="43">
        <f t="shared" si="14"/>
        <v>5219.0746186685128</v>
      </c>
      <c r="O96" s="43"/>
      <c r="P96" s="601"/>
      <c r="Q96" s="68"/>
      <c r="R96" s="68"/>
      <c r="S96" s="176"/>
      <c r="T96" s="177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</row>
    <row r="97" spans="1:34">
      <c r="A97" s="118"/>
      <c r="B97" s="478">
        <v>52</v>
      </c>
      <c r="C97" s="42"/>
      <c r="D97" s="42" t="s">
        <v>76</v>
      </c>
      <c r="E97" s="42">
        <f t="shared" si="11"/>
        <v>0</v>
      </c>
      <c r="F97" s="42"/>
      <c r="G97" s="601">
        <f t="shared" si="15"/>
        <v>124781</v>
      </c>
      <c r="H97" s="42">
        <f t="shared" si="12"/>
        <v>0</v>
      </c>
      <c r="I97" s="42"/>
      <c r="J97" s="601">
        <f t="shared" si="16"/>
        <v>114604</v>
      </c>
      <c r="K97" s="42">
        <f t="shared" si="13"/>
        <v>0</v>
      </c>
      <c r="L97" s="42"/>
      <c r="M97" s="601">
        <f t="shared" si="17"/>
        <v>96645</v>
      </c>
      <c r="N97" s="42">
        <f t="shared" si="14"/>
        <v>0</v>
      </c>
      <c r="O97" s="42"/>
      <c r="P97" s="601">
        <f t="shared" si="18"/>
        <v>90382</v>
      </c>
      <c r="Q97" s="68"/>
      <c r="R97" s="68"/>
      <c r="S97" s="176"/>
      <c r="T97" s="177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</row>
    <row r="98" spans="1:34">
      <c r="A98" s="118"/>
      <c r="B98" s="477">
        <v>16</v>
      </c>
      <c r="C98" s="43"/>
      <c r="D98" s="43" t="s">
        <v>77</v>
      </c>
      <c r="E98" s="43">
        <f t="shared" si="11"/>
        <v>0</v>
      </c>
      <c r="F98" s="43"/>
      <c r="G98" s="601">
        <f t="shared" si="15"/>
        <v>5258.9364303948378</v>
      </c>
      <c r="H98" s="43">
        <f t="shared" si="12"/>
        <v>0</v>
      </c>
      <c r="I98" s="43"/>
      <c r="J98" s="601">
        <f t="shared" si="16"/>
        <v>4770.2357541441916</v>
      </c>
      <c r="K98" s="43">
        <f t="shared" si="13"/>
        <v>0</v>
      </c>
      <c r="L98" s="43"/>
      <c r="M98" s="601">
        <f t="shared" si="17"/>
        <v>4057.2234753836578</v>
      </c>
      <c r="N98" s="43">
        <f t="shared" si="14"/>
        <v>0</v>
      </c>
      <c r="O98" s="43"/>
      <c r="P98" s="601">
        <f t="shared" si="18"/>
        <v>3756.2183357424569</v>
      </c>
      <c r="Q98" s="68"/>
      <c r="R98" s="68"/>
      <c r="S98" s="176"/>
      <c r="T98" s="177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</row>
    <row r="99" spans="1:34">
      <c r="A99" s="118"/>
      <c r="B99" s="478">
        <v>78</v>
      </c>
      <c r="C99" s="623">
        <v>0</v>
      </c>
      <c r="D99" s="42" t="s">
        <v>78</v>
      </c>
      <c r="E99" s="42">
        <f t="shared" si="11"/>
        <v>0</v>
      </c>
      <c r="F99" s="42"/>
      <c r="G99" s="601">
        <f t="shared" si="15"/>
        <v>142069</v>
      </c>
      <c r="H99" s="42">
        <f t="shared" si="12"/>
        <v>0</v>
      </c>
      <c r="I99" s="42"/>
      <c r="J99" s="601">
        <f t="shared" si="16"/>
        <v>130287</v>
      </c>
      <c r="K99" s="42">
        <f t="shared" si="13"/>
        <v>0</v>
      </c>
      <c r="L99" s="42"/>
      <c r="M99" s="601">
        <f t="shared" si="17"/>
        <v>109981</v>
      </c>
      <c r="N99" s="42">
        <f t="shared" si="14"/>
        <v>0</v>
      </c>
      <c r="O99" s="42"/>
      <c r="P99" s="601">
        <f t="shared" si="18"/>
        <v>102731</v>
      </c>
      <c r="Q99" s="68"/>
      <c r="R99" s="68"/>
      <c r="S99" s="176"/>
      <c r="T99" s="177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</row>
    <row r="100" spans="1:34">
      <c r="A100" s="118"/>
      <c r="B100" s="477">
        <v>185</v>
      </c>
      <c r="C100" s="43"/>
      <c r="D100" s="43" t="s">
        <v>79</v>
      </c>
      <c r="E100" s="43">
        <f t="shared" si="11"/>
        <v>25205.861548659515</v>
      </c>
      <c r="F100" s="43"/>
      <c r="G100" s="601">
        <f t="shared" si="15"/>
        <v>25205.861548659515</v>
      </c>
      <c r="H100" s="43">
        <f t="shared" si="12"/>
        <v>22865.309020557019</v>
      </c>
      <c r="I100" s="43"/>
      <c r="J100" s="601">
        <f t="shared" si="16"/>
        <v>22865.309020557019</v>
      </c>
      <c r="K100" s="43">
        <f t="shared" si="13"/>
        <v>19444.323971518421</v>
      </c>
      <c r="L100" s="43"/>
      <c r="M100" s="601">
        <f t="shared" si="17"/>
        <v>19444.323971518421</v>
      </c>
      <c r="N100" s="43">
        <f t="shared" si="14"/>
        <v>18004.516478121594</v>
      </c>
      <c r="O100" s="43"/>
      <c r="P100" s="601">
        <f t="shared" si="18"/>
        <v>18004.516478121594</v>
      </c>
      <c r="Q100" s="68"/>
      <c r="R100" s="68"/>
      <c r="S100" s="176"/>
      <c r="T100" s="177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</row>
    <row r="101" spans="1:34">
      <c r="A101" s="118"/>
      <c r="B101" s="478" t="s">
        <v>80</v>
      </c>
      <c r="C101" s="518">
        <v>1</v>
      </c>
      <c r="D101" s="42" t="s">
        <v>81</v>
      </c>
      <c r="E101" s="42">
        <f t="shared" si="11"/>
        <v>4418.4279999999999</v>
      </c>
      <c r="F101" s="42"/>
      <c r="G101" s="601"/>
      <c r="H101" s="42">
        <f t="shared" si="12"/>
        <v>4008.1453999999999</v>
      </c>
      <c r="I101" s="42"/>
      <c r="J101" s="601"/>
      <c r="K101" s="42">
        <f t="shared" si="13"/>
        <v>3408.5016000000001</v>
      </c>
      <c r="L101" s="42"/>
      <c r="M101" s="601"/>
      <c r="N101" s="42">
        <f t="shared" si="14"/>
        <v>3156.02</v>
      </c>
      <c r="O101" s="42"/>
      <c r="P101" s="601"/>
      <c r="Q101" s="68"/>
      <c r="R101" s="68"/>
      <c r="S101" s="176"/>
      <c r="T101" s="177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</row>
    <row r="102" spans="1:34">
      <c r="A102" s="118"/>
      <c r="B102" s="477">
        <v>29</v>
      </c>
      <c r="C102" s="622">
        <f>cantkm</f>
        <v>0</v>
      </c>
      <c r="D102" s="43" t="s">
        <v>82</v>
      </c>
      <c r="E102" s="43">
        <f t="shared" si="11"/>
        <v>0</v>
      </c>
      <c r="F102" s="43"/>
      <c r="G102" s="184">
        <f t="shared" si="15"/>
        <v>194210</v>
      </c>
      <c r="H102" s="43">
        <f t="shared" si="12"/>
        <v>0</v>
      </c>
      <c r="I102" s="43"/>
      <c r="J102" s="184">
        <f t="shared" si="16"/>
        <v>178996</v>
      </c>
      <c r="K102" s="43">
        <f t="shared" si="13"/>
        <v>0</v>
      </c>
      <c r="L102" s="43"/>
      <c r="M102" s="184">
        <f t="shared" si="17"/>
        <v>150589</v>
      </c>
      <c r="N102" s="43">
        <f t="shared" si="14"/>
        <v>0</v>
      </c>
      <c r="O102" s="43"/>
      <c r="P102" s="184">
        <f t="shared" si="18"/>
        <v>141227</v>
      </c>
      <c r="Q102" s="68"/>
      <c r="R102" s="68"/>
      <c r="S102" s="176"/>
      <c r="T102" s="177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</row>
    <row r="103" spans="1:34">
      <c r="A103" s="118"/>
      <c r="B103" s="478" t="s">
        <v>83</v>
      </c>
      <c r="C103" s="42" t="s">
        <v>84</v>
      </c>
      <c r="D103" s="42"/>
      <c r="E103" s="534">
        <v>0</v>
      </c>
      <c r="F103" s="42"/>
      <c r="G103" s="184">
        <f t="shared" si="15"/>
        <v>85366.239995642318</v>
      </c>
      <c r="H103" s="534">
        <v>0</v>
      </c>
      <c r="I103" s="42"/>
      <c r="J103" s="184">
        <f t="shared" si="16"/>
        <v>79065.839769374361</v>
      </c>
      <c r="K103" s="534">
        <v>0</v>
      </c>
      <c r="L103" s="42"/>
      <c r="M103" s="184">
        <f t="shared" si="17"/>
        <v>66297.906526035556</v>
      </c>
      <c r="N103" s="534">
        <v>0</v>
      </c>
      <c r="O103" s="42"/>
      <c r="P103" s="184">
        <f t="shared" si="18"/>
        <v>62421.269679921526</v>
      </c>
      <c r="Q103" s="68"/>
      <c r="R103" s="68"/>
      <c r="S103" s="176"/>
      <c r="T103" s="177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</row>
    <row r="104" spans="1:34">
      <c r="A104" s="118"/>
      <c r="B104" s="477"/>
      <c r="C104" s="43"/>
      <c r="D104" s="44" t="s">
        <v>85</v>
      </c>
      <c r="E104" s="44">
        <f>E167</f>
        <v>156645.67901234567</v>
      </c>
      <c r="F104" s="44"/>
      <c r="G104" s="185"/>
      <c r="H104" s="44">
        <f>H167</f>
        <v>142100.00000000003</v>
      </c>
      <c r="I104" s="44"/>
      <c r="J104" s="185"/>
      <c r="K104" s="44">
        <f>K167</f>
        <v>120840.74074074072</v>
      </c>
      <c r="L104" s="44"/>
      <c r="M104" s="185"/>
      <c r="N104" s="44">
        <f>N167</f>
        <v>111890.1234567901</v>
      </c>
      <c r="O104" s="44"/>
      <c r="P104" s="185"/>
      <c r="Q104" s="68"/>
      <c r="R104" s="68"/>
      <c r="S104" s="176"/>
      <c r="T104" s="177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</row>
    <row r="105" spans="1:34">
      <c r="A105" s="118"/>
      <c r="B105" s="478">
        <v>84</v>
      </c>
      <c r="C105" s="518">
        <v>1</v>
      </c>
      <c r="D105" s="42" t="s">
        <v>86</v>
      </c>
      <c r="E105" s="42">
        <f>E168</f>
        <v>10436</v>
      </c>
      <c r="F105" s="42"/>
      <c r="G105" s="182"/>
      <c r="H105" s="42">
        <f>H168</f>
        <v>10436</v>
      </c>
      <c r="I105" s="42"/>
      <c r="J105" s="182"/>
      <c r="K105" s="42">
        <f>K168</f>
        <v>7350</v>
      </c>
      <c r="L105" s="42"/>
      <c r="M105" s="182"/>
      <c r="N105" s="42">
        <f>N168</f>
        <v>7350</v>
      </c>
      <c r="O105" s="42"/>
      <c r="P105" s="182"/>
      <c r="Q105" s="68"/>
      <c r="R105" s="68"/>
      <c r="S105" s="176"/>
      <c r="T105" s="177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</row>
    <row r="106" spans="1:34">
      <c r="A106" s="118"/>
      <c r="B106" s="478">
        <v>99</v>
      </c>
      <c r="C106" s="42"/>
      <c r="D106" s="42" t="s">
        <v>87</v>
      </c>
      <c r="E106" s="534">
        <v>0</v>
      </c>
      <c r="F106" s="42"/>
      <c r="G106" s="182"/>
      <c r="H106" s="534">
        <v>0</v>
      </c>
      <c r="I106" s="42"/>
      <c r="J106" s="182"/>
      <c r="K106" s="534">
        <v>0</v>
      </c>
      <c r="L106" s="42"/>
      <c r="M106" s="182"/>
      <c r="N106" s="534">
        <v>0</v>
      </c>
      <c r="O106" s="42"/>
      <c r="P106" s="182"/>
      <c r="Q106" s="68"/>
      <c r="R106" s="68"/>
      <c r="S106" s="176"/>
      <c r="T106" s="177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</row>
    <row r="107" spans="1:34" ht="16.5" thickBot="1">
      <c r="A107" s="118"/>
      <c r="B107" s="477">
        <v>54</v>
      </c>
      <c r="C107" s="519">
        <v>1</v>
      </c>
      <c r="D107" s="43" t="s">
        <v>88</v>
      </c>
      <c r="E107" s="43">
        <f>E170</f>
        <v>2250</v>
      </c>
      <c r="F107" s="43"/>
      <c r="G107" s="182"/>
      <c r="H107" s="43">
        <f>H170</f>
        <v>2250</v>
      </c>
      <c r="I107" s="43"/>
      <c r="J107" s="182"/>
      <c r="K107" s="43">
        <f>K170</f>
        <v>2250</v>
      </c>
      <c r="L107" s="43"/>
      <c r="M107" s="182"/>
      <c r="N107" s="43">
        <f>N170</f>
        <v>2250</v>
      </c>
      <c r="O107" s="43"/>
      <c r="P107" s="182"/>
      <c r="Q107" s="68"/>
      <c r="R107" s="68"/>
      <c r="S107" s="176"/>
      <c r="T107" s="177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</row>
    <row r="108" spans="1:34" s="706" customFormat="1" ht="16.5" thickBot="1">
      <c r="A108" s="118"/>
      <c r="B108" s="477">
        <v>64</v>
      </c>
      <c r="C108" s="519">
        <v>1</v>
      </c>
      <c r="D108" s="217" t="s">
        <v>507</v>
      </c>
      <c r="E108" s="43">
        <f>E171</f>
        <v>2500</v>
      </c>
      <c r="F108" s="43"/>
      <c r="G108" s="182"/>
      <c r="H108" s="43">
        <f>H171</f>
        <v>2500</v>
      </c>
      <c r="I108" s="43"/>
      <c r="J108" s="182"/>
      <c r="K108" s="43">
        <f>K171</f>
        <v>2500</v>
      </c>
      <c r="L108" s="43"/>
      <c r="M108" s="182"/>
      <c r="N108" s="43">
        <f>N171</f>
        <v>2500</v>
      </c>
      <c r="O108" s="43"/>
      <c r="P108" s="182"/>
      <c r="Q108" s="68"/>
      <c r="R108" s="68"/>
      <c r="S108" s="176"/>
      <c r="T108" s="177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</row>
    <row r="109" spans="1:34">
      <c r="A109" s="118"/>
      <c r="B109" s="478"/>
      <c r="C109" s="42"/>
      <c r="D109" s="45" t="s">
        <v>89</v>
      </c>
      <c r="E109" s="45">
        <f>E172</f>
        <v>171831.67901234567</v>
      </c>
      <c r="F109" s="45"/>
      <c r="G109" s="185"/>
      <c r="H109" s="45">
        <f>H172</f>
        <v>157286.00000000003</v>
      </c>
      <c r="I109" s="45"/>
      <c r="J109" s="185"/>
      <c r="K109" s="45">
        <f>K172</f>
        <v>132940.74074074073</v>
      </c>
      <c r="L109" s="45"/>
      <c r="M109" s="185"/>
      <c r="N109" s="45">
        <f>N172</f>
        <v>123990.1234567901</v>
      </c>
      <c r="O109" s="45"/>
      <c r="P109" s="185"/>
      <c r="Q109" s="68"/>
      <c r="R109" s="68"/>
      <c r="S109" s="176"/>
      <c r="T109" s="177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</row>
    <row r="110" spans="1:34">
      <c r="A110" s="118"/>
      <c r="B110" s="477">
        <v>440</v>
      </c>
      <c r="C110" s="43"/>
      <c r="D110" s="43" t="s">
        <v>90</v>
      </c>
      <c r="E110" s="535">
        <v>0</v>
      </c>
      <c r="F110" s="43">
        <f t="shared" ref="F110:F111" si="19">F173</f>
        <v>0</v>
      </c>
      <c r="G110" s="182"/>
      <c r="H110" s="535">
        <v>0</v>
      </c>
      <c r="I110" s="43">
        <f t="shared" ref="I110:I111" si="20">I173</f>
        <v>0</v>
      </c>
      <c r="J110" s="182"/>
      <c r="K110" s="535">
        <v>0</v>
      </c>
      <c r="L110" s="43">
        <f t="shared" ref="L110:L111" si="21">L173</f>
        <v>0</v>
      </c>
      <c r="M110" s="182"/>
      <c r="N110" s="535">
        <v>0</v>
      </c>
      <c r="O110" s="43">
        <f t="shared" ref="O110:O111" si="22">O173</f>
        <v>0</v>
      </c>
      <c r="P110" s="182"/>
      <c r="Q110" s="68"/>
      <c r="R110" s="68"/>
      <c r="S110" s="176"/>
      <c r="T110" s="177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</row>
    <row r="111" spans="1:34">
      <c r="A111" s="118"/>
      <c r="B111" s="478">
        <v>502</v>
      </c>
      <c r="C111" s="567">
        <v>0.16</v>
      </c>
      <c r="D111" s="42" t="s">
        <v>91</v>
      </c>
      <c r="E111" s="42"/>
      <c r="F111" s="42">
        <f t="shared" si="19"/>
        <v>-25063.308641975305</v>
      </c>
      <c r="G111" s="182"/>
      <c r="H111" s="42"/>
      <c r="I111" s="42">
        <f t="shared" si="20"/>
        <v>-22736</v>
      </c>
      <c r="J111" s="182"/>
      <c r="K111" s="42"/>
      <c r="L111" s="42">
        <f t="shared" si="21"/>
        <v>-19334.518518518518</v>
      </c>
      <c r="M111" s="182"/>
      <c r="N111" s="42"/>
      <c r="O111" s="42">
        <f t="shared" si="22"/>
        <v>-17902.419753086418</v>
      </c>
      <c r="P111" s="182"/>
      <c r="Q111" s="68"/>
      <c r="R111" s="68"/>
      <c r="S111" s="176"/>
      <c r="T111" s="177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</row>
    <row r="112" spans="1:34">
      <c r="A112" s="118"/>
      <c r="B112" s="478">
        <v>505</v>
      </c>
      <c r="C112" s="564">
        <v>0.03</v>
      </c>
      <c r="D112" s="42" t="s">
        <v>92</v>
      </c>
      <c r="E112" s="42"/>
      <c r="F112" s="42">
        <f>F175</f>
        <v>-4699.3703703703704</v>
      </c>
      <c r="G112" s="182"/>
      <c r="H112" s="42"/>
      <c r="I112" s="42">
        <f>I175</f>
        <v>-4262.9999999999991</v>
      </c>
      <c r="J112" s="182"/>
      <c r="K112" s="42"/>
      <c r="L112" s="42">
        <f>L175</f>
        <v>-3625.2222222222217</v>
      </c>
      <c r="M112" s="182"/>
      <c r="N112" s="42"/>
      <c r="O112" s="42">
        <f>O175</f>
        <v>-3356.7037037037035</v>
      </c>
      <c r="P112" s="182"/>
      <c r="Q112" s="68"/>
      <c r="R112" s="68"/>
      <c r="S112" s="176"/>
      <c r="T112" s="177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</row>
    <row r="113" spans="1:34">
      <c r="A113" s="118"/>
      <c r="B113" s="477">
        <v>510</v>
      </c>
      <c r="C113" s="43"/>
      <c r="D113" s="43" t="s">
        <v>93</v>
      </c>
      <c r="E113" s="535">
        <v>0</v>
      </c>
      <c r="F113" s="43">
        <f>F176</f>
        <v>0</v>
      </c>
      <c r="G113" s="182"/>
      <c r="H113" s="535">
        <v>0</v>
      </c>
      <c r="I113" s="43">
        <f>I176</f>
        <v>0</v>
      </c>
      <c r="J113" s="182"/>
      <c r="K113" s="535">
        <v>0</v>
      </c>
      <c r="L113" s="43">
        <f>L176</f>
        <v>0</v>
      </c>
      <c r="M113" s="182"/>
      <c r="N113" s="535">
        <v>0</v>
      </c>
      <c r="O113" s="43">
        <f>O176</f>
        <v>0</v>
      </c>
      <c r="P113" s="182"/>
      <c r="Q113" s="68"/>
      <c r="R113" s="68"/>
      <c r="S113" s="176"/>
      <c r="T113" s="177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</row>
    <row r="114" spans="1:34">
      <c r="A114" s="118"/>
      <c r="B114" s="478">
        <v>332</v>
      </c>
      <c r="C114" s="517">
        <v>0</v>
      </c>
      <c r="D114" s="42" t="s">
        <v>94</v>
      </c>
      <c r="E114" s="42"/>
      <c r="F114" s="42">
        <f>F177</f>
        <v>0</v>
      </c>
      <c r="G114" s="182"/>
      <c r="H114" s="42"/>
      <c r="I114" s="42">
        <f>I177</f>
        <v>0</v>
      </c>
      <c r="J114" s="182"/>
      <c r="K114" s="42"/>
      <c r="L114" s="42">
        <f>L177</f>
        <v>0</v>
      </c>
      <c r="M114" s="182"/>
      <c r="N114" s="42"/>
      <c r="O114" s="42">
        <f>O177</f>
        <v>0</v>
      </c>
      <c r="P114" s="182"/>
      <c r="Q114" s="68"/>
      <c r="R114" s="68"/>
      <c r="S114" s="176"/>
      <c r="T114" s="177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</row>
    <row r="115" spans="1:34">
      <c r="A115" s="118"/>
      <c r="B115" s="183"/>
      <c r="C115" s="517"/>
      <c r="D115" s="43" t="s">
        <v>95</v>
      </c>
      <c r="E115" s="535">
        <v>0</v>
      </c>
      <c r="F115" s="43">
        <f>F178</f>
        <v>0</v>
      </c>
      <c r="G115" s="182"/>
      <c r="H115" s="535">
        <v>0</v>
      </c>
      <c r="I115" s="43">
        <f>I178</f>
        <v>0</v>
      </c>
      <c r="J115" s="182"/>
      <c r="K115" s="535">
        <v>0</v>
      </c>
      <c r="L115" s="43">
        <f>L178</f>
        <v>0</v>
      </c>
      <c r="M115" s="182"/>
      <c r="N115" s="535">
        <v>0</v>
      </c>
      <c r="O115" s="43">
        <f>O178</f>
        <v>0</v>
      </c>
      <c r="P115" s="182"/>
      <c r="Q115" s="68"/>
      <c r="R115" s="68"/>
      <c r="S115" s="176"/>
      <c r="T115" s="177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</row>
    <row r="116" spans="1:34">
      <c r="A116" s="118"/>
      <c r="B116" s="187"/>
      <c r="C116" s="188"/>
      <c r="D116" s="189" t="s">
        <v>96</v>
      </c>
      <c r="E116" s="189"/>
      <c r="F116" s="189">
        <f>F179</f>
        <v>-29762.679012345674</v>
      </c>
      <c r="G116" s="190"/>
      <c r="H116" s="189"/>
      <c r="I116" s="189">
        <f>I179</f>
        <v>-26999</v>
      </c>
      <c r="J116" s="190"/>
      <c r="K116" s="189"/>
      <c r="L116" s="189">
        <f>L179</f>
        <v>-22959.740740740741</v>
      </c>
      <c r="M116" s="190"/>
      <c r="N116" s="189"/>
      <c r="O116" s="189">
        <f>O179</f>
        <v>-21259.123456790123</v>
      </c>
      <c r="P116" s="190"/>
      <c r="Q116" s="68"/>
      <c r="R116" s="68"/>
      <c r="S116" s="176"/>
      <c r="T116" s="177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</row>
    <row r="117" spans="1:34">
      <c r="A117" s="118"/>
      <c r="B117" s="191"/>
      <c r="C117" s="60"/>
      <c r="D117" s="60"/>
      <c r="E117" s="60"/>
      <c r="F117" s="60"/>
      <c r="G117" s="192"/>
      <c r="H117" s="60"/>
      <c r="I117" s="60"/>
      <c r="J117" s="192"/>
      <c r="K117" s="60"/>
      <c r="L117" s="60"/>
      <c r="M117" s="192"/>
      <c r="N117" s="60"/>
      <c r="O117" s="60"/>
      <c r="P117" s="192"/>
      <c r="Q117" s="68"/>
      <c r="R117" s="68"/>
      <c r="S117" s="176"/>
      <c r="T117" s="177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</row>
    <row r="118" spans="1:34">
      <c r="A118" s="118"/>
      <c r="B118" s="60"/>
      <c r="C118" s="60"/>
      <c r="D118" s="193"/>
      <c r="E118" s="194" t="str">
        <f>E181</f>
        <v>Sueldo líquido</v>
      </c>
      <c r="F118" s="606">
        <f>F181</f>
        <v>142069</v>
      </c>
      <c r="G118" s="192"/>
      <c r="H118" s="194" t="str">
        <f>H181</f>
        <v>Sueldo líquido</v>
      </c>
      <c r="I118" s="606">
        <f>I181</f>
        <v>130287.00000000003</v>
      </c>
      <c r="J118" s="192"/>
      <c r="K118" s="194" t="str">
        <f>K181</f>
        <v>Sueldo líquido</v>
      </c>
      <c r="L118" s="606">
        <f>L181</f>
        <v>109980.99999999999</v>
      </c>
      <c r="M118" s="192"/>
      <c r="N118" s="194" t="str">
        <f>N181</f>
        <v>Sueldo líquido</v>
      </c>
      <c r="O118" s="606">
        <f>O181</f>
        <v>102730.99999999997</v>
      </c>
      <c r="P118" s="192"/>
      <c r="Q118" s="68"/>
      <c r="R118" s="68"/>
      <c r="S118" s="176"/>
      <c r="T118" s="177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</row>
    <row r="119" spans="1:34" ht="15">
      <c r="A119" s="118"/>
      <c r="B119" s="60"/>
      <c r="C119" s="60"/>
      <c r="D119" s="625"/>
      <c r="E119" s="195"/>
      <c r="F119" s="195"/>
      <c r="G119" s="192"/>
      <c r="H119" s="195"/>
      <c r="I119" s="195"/>
      <c r="J119" s="192"/>
      <c r="K119" s="195"/>
      <c r="L119" s="195"/>
      <c r="M119" s="192"/>
      <c r="N119" s="195"/>
      <c r="O119" s="195"/>
      <c r="P119" s="192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</row>
    <row r="120" spans="1:34">
      <c r="A120" s="118"/>
      <c r="B120" s="60"/>
      <c r="D120" s="626"/>
      <c r="E120" s="195" t="str">
        <f t="shared" ref="E120" si="23">E183</f>
        <v>Total remunerativos</v>
      </c>
      <c r="F120" s="195"/>
      <c r="G120" s="192"/>
      <c r="H120" s="195" t="str">
        <f t="shared" ref="H120" si="24">H183</f>
        <v>Total remunerativos</v>
      </c>
      <c r="I120" s="195"/>
      <c r="J120" s="192"/>
      <c r="K120" s="195" t="str">
        <f t="shared" ref="K120" si="25">K183</f>
        <v>Total remunerativos</v>
      </c>
      <c r="L120" s="195"/>
      <c r="M120" s="192"/>
      <c r="N120" s="195" t="str">
        <f t="shared" ref="N120" si="26">N183</f>
        <v>Total remunerativos</v>
      </c>
      <c r="O120" s="195"/>
      <c r="P120" s="192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</row>
    <row r="121" spans="1:34" ht="18">
      <c r="A121" s="118"/>
      <c r="B121" s="60"/>
      <c r="C121" s="60"/>
      <c r="D121" s="627"/>
      <c r="E121" s="195">
        <f t="shared" ref="E121:F121" si="27">E184</f>
        <v>129675.40715527999</v>
      </c>
      <c r="F121" s="195" t="str">
        <f t="shared" si="27"/>
        <v>sin 188 y 14</v>
      </c>
      <c r="G121" s="192"/>
      <c r="H121" s="195">
        <f t="shared" ref="H121:I121" si="28">H184</f>
        <v>117634.11934800398</v>
      </c>
      <c r="I121" s="195" t="str">
        <f t="shared" si="28"/>
        <v>sin 188 y 14</v>
      </c>
      <c r="J121" s="192"/>
      <c r="K121" s="195">
        <f t="shared" ref="K121:L121" si="29">K184</f>
        <v>100035.31409121602</v>
      </c>
      <c r="L121" s="195" t="str">
        <f t="shared" si="29"/>
        <v>sin 188 y 14</v>
      </c>
      <c r="M121" s="192"/>
      <c r="N121" s="195">
        <f t="shared" ref="N121:O121" si="30">N184</f>
        <v>92625.290825200005</v>
      </c>
      <c r="O121" s="195" t="str">
        <f t="shared" si="30"/>
        <v>sin 188 y 14</v>
      </c>
      <c r="P121" s="192"/>
      <c r="Q121" s="68"/>
      <c r="R121" s="176"/>
      <c r="S121" s="177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</row>
    <row r="122" spans="1:34" ht="16.5" thickBot="1">
      <c r="A122" s="118"/>
      <c r="B122" s="60"/>
      <c r="C122" s="60"/>
      <c r="D122" s="628"/>
      <c r="E122" s="191">
        <f t="shared" ref="E122:F122" si="31">E185</f>
        <v>99109.061182964011</v>
      </c>
      <c r="F122" s="191" t="str">
        <f t="shared" si="31"/>
        <v>con 188 y 14</v>
      </c>
      <c r="G122" s="192"/>
      <c r="H122" s="191">
        <f t="shared" ref="H122:I122" si="32">H185</f>
        <v>99109.061182964011</v>
      </c>
      <c r="I122" s="191" t="str">
        <f t="shared" si="32"/>
        <v>con 188 y 14</v>
      </c>
      <c r="J122" s="192"/>
      <c r="K122" s="191">
        <f t="shared" ref="K122:L122" si="33">K185</f>
        <v>99109.061182964011</v>
      </c>
      <c r="L122" s="191" t="str">
        <f t="shared" si="33"/>
        <v>con 188 y 14</v>
      </c>
      <c r="M122" s="192"/>
      <c r="N122" s="191">
        <f t="shared" ref="N122:O122" si="34">N185</f>
        <v>99109.061182964011</v>
      </c>
      <c r="O122" s="191" t="str">
        <f t="shared" si="34"/>
        <v>con 188 y 14</v>
      </c>
      <c r="P122" s="192"/>
      <c r="Q122" s="68"/>
      <c r="R122" s="176"/>
      <c r="S122" s="177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</row>
    <row r="123" spans="1:34">
      <c r="A123" s="118"/>
      <c r="B123" s="60"/>
      <c r="C123" s="60"/>
      <c r="D123" s="628"/>
      <c r="E123" s="624" t="str">
        <f t="shared" ref="E123:F123" si="35">E186</f>
        <v>Aumento del mes</v>
      </c>
      <c r="F123" s="608">
        <f t="shared" si="35"/>
        <v>11781.999999999971</v>
      </c>
      <c r="G123" s="192"/>
      <c r="H123" s="624" t="str">
        <f t="shared" ref="H123:I123" si="36">H186</f>
        <v>Aumento del mes</v>
      </c>
      <c r="I123" s="608">
        <f t="shared" si="36"/>
        <v>20306.000000000044</v>
      </c>
      <c r="J123" s="192"/>
      <c r="K123" s="624" t="str">
        <f t="shared" ref="K123:L123" si="37">K186</f>
        <v>Aumento del mes</v>
      </c>
      <c r="L123" s="608">
        <f t="shared" si="37"/>
        <v>7250.0000000000146</v>
      </c>
      <c r="M123" s="192"/>
      <c r="N123" s="624" t="str">
        <f t="shared" ref="N123:O123" si="38">N186</f>
        <v>Aumento del mes</v>
      </c>
      <c r="O123" s="608">
        <f t="shared" si="38"/>
        <v>0</v>
      </c>
      <c r="P123" s="192"/>
      <c r="Q123" s="68"/>
      <c r="R123" s="176"/>
      <c r="S123" s="177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</row>
    <row r="124" spans="1:34" ht="16.5" thickBot="1">
      <c r="A124" s="118"/>
      <c r="B124" s="60"/>
      <c r="C124" s="60"/>
      <c r="D124" s="60"/>
      <c r="E124" s="197" t="str">
        <f t="shared" ref="E124:F124" si="39">E187</f>
        <v>Porc resp a anterior</v>
      </c>
      <c r="F124" s="507">
        <f t="shared" si="39"/>
        <v>9.0431125131440346E-2</v>
      </c>
      <c r="G124" s="192"/>
      <c r="H124" s="197" t="str">
        <f t="shared" ref="H124:I124" si="40">H187</f>
        <v>Porc resp a anterior</v>
      </c>
      <c r="I124" s="507">
        <f t="shared" si="40"/>
        <v>0.18463189096298493</v>
      </c>
      <c r="J124" s="192"/>
      <c r="K124" s="197" t="str">
        <f t="shared" ref="K124:L124" si="41">K187</f>
        <v>Porc resp a anterior</v>
      </c>
      <c r="L124" s="507">
        <f t="shared" si="41"/>
        <v>7.0572660637977014E-2</v>
      </c>
      <c r="M124" s="192"/>
      <c r="N124" s="197" t="str">
        <f t="shared" ref="N124:O124" si="42">N187</f>
        <v>Porc resp a anterior</v>
      </c>
      <c r="O124" s="507">
        <f t="shared" si="42"/>
        <v>0</v>
      </c>
      <c r="P124" s="192"/>
      <c r="Q124" s="68"/>
      <c r="R124" s="176"/>
      <c r="S124" s="177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</row>
    <row r="125" spans="1:34" ht="16.5" thickBot="1">
      <c r="A125" s="118"/>
      <c r="B125" s="60"/>
      <c r="C125" s="60"/>
      <c r="D125" s="60"/>
      <c r="E125" s="198"/>
      <c r="F125" s="199"/>
      <c r="G125" s="192"/>
      <c r="H125" s="198"/>
      <c r="I125" s="199"/>
      <c r="J125" s="192"/>
      <c r="K125" s="198"/>
      <c r="L125" s="199"/>
      <c r="M125" s="192"/>
      <c r="N125" s="198"/>
      <c r="O125" s="199"/>
      <c r="P125" s="192"/>
      <c r="Q125" s="68"/>
      <c r="R125" s="68"/>
      <c r="S125" s="176"/>
      <c r="T125" s="177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</row>
    <row r="126" spans="1:34">
      <c r="A126" s="118"/>
      <c r="B126" s="60"/>
      <c r="C126" s="60"/>
      <c r="D126" s="60"/>
      <c r="E126" s="200" t="str">
        <f t="shared" ref="E126:F126" si="43">E189</f>
        <v>Aumento acumulado</v>
      </c>
      <c r="F126" s="609">
        <f t="shared" si="43"/>
        <v>39338.000000000029</v>
      </c>
      <c r="G126" s="192"/>
      <c r="H126" s="200" t="str">
        <f t="shared" ref="H126:I126" si="44">H189</f>
        <v>Aumento acumulado</v>
      </c>
      <c r="I126" s="609">
        <f t="shared" si="44"/>
        <v>27556.000000000058</v>
      </c>
      <c r="J126" s="192"/>
      <c r="K126" s="200" t="str">
        <f t="shared" ref="K126:L126" si="45">K189</f>
        <v>Aumento acumulado</v>
      </c>
      <c r="L126" s="609">
        <f t="shared" si="45"/>
        <v>7250.0000000000146</v>
      </c>
      <c r="M126" s="192"/>
      <c r="N126" s="200" t="str">
        <f t="shared" ref="N126:O126" si="46">N189</f>
        <v>Aumento acumulado</v>
      </c>
      <c r="O126" s="609">
        <f t="shared" si="46"/>
        <v>0</v>
      </c>
      <c r="P126" s="192"/>
      <c r="Q126" s="68"/>
      <c r="R126" s="68"/>
      <c r="S126" s="176"/>
      <c r="T126" s="177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</row>
    <row r="127" spans="1:34" ht="16.5" thickBot="1">
      <c r="A127" s="118"/>
      <c r="B127" s="60"/>
      <c r="C127" s="60"/>
      <c r="D127" s="60"/>
      <c r="E127" s="201" t="str">
        <f t="shared" ref="E127:F127" si="47">E190</f>
        <v>Porcentaje acumulado</v>
      </c>
      <c r="F127" s="506">
        <f t="shared" si="47"/>
        <v>0.38292238954161878</v>
      </c>
      <c r="G127" s="192"/>
      <c r="H127" s="201" t="str">
        <f t="shared" ref="H127:I127" si="48">H190</f>
        <v>Porcentaje acumulado</v>
      </c>
      <c r="I127" s="506">
        <f t="shared" si="48"/>
        <v>0.26823451538484067</v>
      </c>
      <c r="J127" s="192"/>
      <c r="K127" s="201" t="str">
        <f t="shared" ref="K127:L127" si="49">K190</f>
        <v>Porcentaje acumulado</v>
      </c>
      <c r="L127" s="506">
        <f t="shared" si="49"/>
        <v>7.0572660637977014E-2</v>
      </c>
      <c r="M127" s="192"/>
      <c r="N127" s="201" t="str">
        <f t="shared" ref="N127:O127" si="50">N190</f>
        <v>Porcentaje acumulado</v>
      </c>
      <c r="O127" s="506">
        <f t="shared" si="50"/>
        <v>0</v>
      </c>
      <c r="P127" s="192"/>
      <c r="Q127" s="68"/>
      <c r="R127" s="68"/>
      <c r="S127" s="176"/>
      <c r="T127" s="177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</row>
    <row r="128" spans="1:34" ht="16.5" thickBot="1">
      <c r="A128" s="118"/>
      <c r="B128" s="60"/>
      <c r="C128" s="60"/>
      <c r="D128" s="60"/>
      <c r="E128" s="198"/>
      <c r="F128" s="199"/>
      <c r="G128" s="192"/>
      <c r="H128" s="198"/>
      <c r="I128" s="199"/>
      <c r="J128" s="192"/>
      <c r="K128" s="198"/>
      <c r="L128" s="199"/>
      <c r="M128" s="192"/>
      <c r="N128" s="198"/>
      <c r="O128" s="199"/>
      <c r="P128" s="192"/>
      <c r="Q128" s="68"/>
      <c r="R128" s="68"/>
      <c r="S128" s="176"/>
      <c r="T128" s="177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</row>
    <row r="129" spans="1:34">
      <c r="A129" s="118"/>
      <c r="B129" s="60"/>
      <c r="C129" s="60"/>
      <c r="D129" s="60"/>
      <c r="E129" s="202" t="s">
        <v>503</v>
      </c>
      <c r="F129" s="645">
        <f t="shared" ref="F129:F130" si="51">F192</f>
        <v>36252.000000000029</v>
      </c>
      <c r="G129" s="192"/>
      <c r="H129" s="202" t="s">
        <v>503</v>
      </c>
      <c r="I129" s="645">
        <f t="shared" ref="I129:I130" si="52">I192</f>
        <v>24470.000000000058</v>
      </c>
      <c r="J129" s="192"/>
      <c r="K129" s="202" t="s">
        <v>503</v>
      </c>
      <c r="L129" s="645">
        <f t="shared" ref="L129:L130" si="53">L192</f>
        <v>7250.0000000000146</v>
      </c>
      <c r="M129" s="192"/>
      <c r="N129" s="202" t="s">
        <v>503</v>
      </c>
      <c r="O129" s="645">
        <f t="shared" ref="O129:O130" si="54">O192</f>
        <v>0</v>
      </c>
      <c r="P129" s="192"/>
      <c r="Q129" s="68"/>
      <c r="R129" s="68"/>
      <c r="S129" s="176"/>
      <c r="T129" s="177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</row>
    <row r="130" spans="1:34" ht="16.5" thickBot="1">
      <c r="A130" s="118"/>
      <c r="B130" s="60"/>
      <c r="C130" s="60"/>
      <c r="D130" s="60"/>
      <c r="E130" s="203" t="s">
        <v>504</v>
      </c>
      <c r="F130" s="646">
        <f t="shared" si="51"/>
        <v>0.39999558649910122</v>
      </c>
      <c r="G130" s="192"/>
      <c r="H130" s="203" t="s">
        <v>504</v>
      </c>
      <c r="I130" s="646">
        <f t="shared" si="52"/>
        <v>0.2699959175116689</v>
      </c>
      <c r="J130" s="192"/>
      <c r="K130" s="203" t="s">
        <v>504</v>
      </c>
      <c r="L130" s="646">
        <f t="shared" si="53"/>
        <v>7.9994703798921082E-2</v>
      </c>
      <c r="M130" s="192"/>
      <c r="N130" s="203" t="s">
        <v>504</v>
      </c>
      <c r="O130" s="646">
        <f t="shared" si="54"/>
        <v>0</v>
      </c>
      <c r="P130" s="192"/>
      <c r="Q130" s="68"/>
      <c r="R130" s="68"/>
      <c r="S130" s="176"/>
      <c r="T130" s="177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</row>
    <row r="131" spans="1:34" ht="16.5" thickBot="1">
      <c r="A131" s="118"/>
      <c r="B131" s="60"/>
      <c r="C131" s="60"/>
      <c r="D131" s="60"/>
      <c r="E131" s="195"/>
      <c r="F131" s="195"/>
      <c r="G131" s="192"/>
      <c r="H131" s="195"/>
      <c r="I131" s="195"/>
      <c r="J131" s="192"/>
      <c r="K131" s="195"/>
      <c r="L131" s="195"/>
      <c r="M131" s="192"/>
      <c r="N131" s="195"/>
      <c r="O131" s="195"/>
      <c r="P131" s="192"/>
      <c r="Q131" s="68"/>
      <c r="R131" s="68"/>
      <c r="S131" s="176"/>
      <c r="T131" s="177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</row>
    <row r="132" spans="1:34" ht="16.5" thickTop="1">
      <c r="A132" s="118"/>
      <c r="B132" s="118"/>
      <c r="C132" s="118"/>
      <c r="D132" s="118"/>
      <c r="E132" s="204" t="str">
        <f t="shared" ref="E132:F132" si="55">E195</f>
        <v>Medio Aguinaldo</v>
      </c>
      <c r="F132" s="205">
        <f t="shared" si="55"/>
        <v>0</v>
      </c>
      <c r="G132" s="192"/>
      <c r="H132" s="204" t="str">
        <f t="shared" ref="H132:I132" si="56">H195</f>
        <v>Medio Aguinaldo</v>
      </c>
      <c r="I132" s="205">
        <f t="shared" si="56"/>
        <v>0</v>
      </c>
      <c r="J132" s="192"/>
      <c r="K132" s="204" t="str">
        <f t="shared" ref="K132:L132" si="57">K195</f>
        <v>Medio Aguinaldo</v>
      </c>
      <c r="L132" s="205">
        <f t="shared" si="57"/>
        <v>0</v>
      </c>
      <c r="M132" s="192"/>
      <c r="N132" s="204" t="str">
        <f t="shared" ref="N132:O132" si="58">N195</f>
        <v>Medio Aguinaldo</v>
      </c>
      <c r="O132" s="205">
        <f t="shared" si="58"/>
        <v>0</v>
      </c>
      <c r="P132" s="192"/>
      <c r="Q132" s="68"/>
      <c r="R132" s="68"/>
      <c r="S132" s="176"/>
      <c r="T132" s="177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</row>
    <row r="133" spans="1:34">
      <c r="A133" s="118"/>
      <c r="B133" s="118"/>
      <c r="C133" s="118"/>
      <c r="D133" s="118"/>
      <c r="E133" s="206" t="str">
        <f t="shared" ref="E133:F133" si="59">E196</f>
        <v>código 100</v>
      </c>
      <c r="F133" s="207">
        <f t="shared" si="59"/>
        <v>78322.839506172837</v>
      </c>
      <c r="G133" s="192"/>
      <c r="H133" s="206" t="str">
        <f t="shared" ref="H133:I133" si="60">H196</f>
        <v>código 100</v>
      </c>
      <c r="I133" s="207">
        <f t="shared" si="60"/>
        <v>71050.000000000015</v>
      </c>
      <c r="J133" s="192"/>
      <c r="K133" s="206" t="str">
        <f t="shared" ref="K133:L133" si="61">K196</f>
        <v>código 100</v>
      </c>
      <c r="L133" s="207">
        <f t="shared" si="61"/>
        <v>60420.370370370358</v>
      </c>
      <c r="M133" s="192"/>
      <c r="N133" s="206" t="str">
        <f t="shared" ref="N133:O133" si="62">N196</f>
        <v>código 100</v>
      </c>
      <c r="O133" s="207">
        <f t="shared" si="62"/>
        <v>55945.061728395049</v>
      </c>
      <c r="P133" s="192"/>
      <c r="Q133" s="68"/>
      <c r="R133" s="68"/>
      <c r="S133" s="176"/>
      <c r="T133" s="177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</row>
    <row r="134" spans="1:34">
      <c r="A134" s="118"/>
      <c r="B134" s="118"/>
      <c r="C134" s="118"/>
      <c r="D134" s="118"/>
      <c r="E134" s="206" t="str">
        <f t="shared" ref="E134:F134" si="63">E197</f>
        <v>código 186 (No remun)</v>
      </c>
      <c r="F134" s="208">
        <f t="shared" si="63"/>
        <v>0</v>
      </c>
      <c r="G134" s="192"/>
      <c r="H134" s="206" t="str">
        <f t="shared" ref="H134:I134" si="64">H197</f>
        <v>código 186 (No remun)</v>
      </c>
      <c r="I134" s="208">
        <f t="shared" si="64"/>
        <v>0</v>
      </c>
      <c r="J134" s="192"/>
      <c r="K134" s="206" t="str">
        <f t="shared" ref="K134:L134" si="65">K197</f>
        <v>código 186 (No remun)</v>
      </c>
      <c r="L134" s="208">
        <f t="shared" si="65"/>
        <v>0</v>
      </c>
      <c r="M134" s="192"/>
      <c r="N134" s="206" t="str">
        <f t="shared" ref="N134:O134" si="66">N197</f>
        <v>código 186 (No remun)</v>
      </c>
      <c r="O134" s="208">
        <f t="shared" si="66"/>
        <v>0</v>
      </c>
      <c r="P134" s="192"/>
      <c r="Q134" s="68"/>
      <c r="R134" s="68"/>
      <c r="S134" s="176"/>
      <c r="T134" s="177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</row>
    <row r="135" spans="1:34">
      <c r="A135" s="118"/>
      <c r="B135" s="118"/>
      <c r="C135" s="118"/>
      <c r="D135" s="118"/>
      <c r="E135" s="206" t="str">
        <f t="shared" ref="E135:F135" si="67">E198</f>
        <v>Líquido</v>
      </c>
      <c r="F135" s="208">
        <f t="shared" si="67"/>
        <v>62971.562962962962</v>
      </c>
      <c r="G135" s="192"/>
      <c r="H135" s="206" t="str">
        <f t="shared" ref="H135:I136" si="68">H198</f>
        <v>Líquido</v>
      </c>
      <c r="I135" s="208">
        <f t="shared" si="68"/>
        <v>57124.200000000012</v>
      </c>
      <c r="J135" s="192"/>
      <c r="K135" s="206" t="str">
        <f t="shared" ref="K135:L136" si="69">K198</f>
        <v>Líquido</v>
      </c>
      <c r="L135" s="208">
        <f t="shared" si="69"/>
        <v>48577.977777777771</v>
      </c>
      <c r="M135" s="192"/>
      <c r="N135" s="206" t="str">
        <f t="shared" ref="N135:O135" si="70">N198</f>
        <v>Líquido</v>
      </c>
      <c r="O135" s="208">
        <f t="shared" si="70"/>
        <v>44979.829629629625</v>
      </c>
      <c r="P135" s="192"/>
      <c r="Q135" s="68"/>
      <c r="R135" s="68"/>
      <c r="S135" s="176"/>
      <c r="T135" s="177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</row>
    <row r="136" spans="1:34">
      <c r="A136" s="118"/>
      <c r="B136" s="118"/>
      <c r="C136" s="118"/>
      <c r="D136" s="118"/>
      <c r="E136" s="206" t="str">
        <f t="shared" ref="E136" si="71">E199</f>
        <v>Descuentos con aguinaldo</v>
      </c>
      <c r="F136" s="208"/>
      <c r="G136" s="192"/>
      <c r="H136" s="206" t="str">
        <f t="shared" si="68"/>
        <v>Descuentos con aguinaldo</v>
      </c>
      <c r="I136" s="208"/>
      <c r="J136" s="192"/>
      <c r="K136" s="206" t="str">
        <f t="shared" si="69"/>
        <v>Descuentos con aguinaldo</v>
      </c>
      <c r="L136" s="208"/>
      <c r="M136" s="192"/>
      <c r="N136" s="206" t="str">
        <f t="shared" ref="N136" si="72">N199</f>
        <v>Descuentos con aguinaldo</v>
      </c>
      <c r="O136" s="208"/>
      <c r="P136" s="192"/>
      <c r="Q136" s="68"/>
      <c r="R136" s="68"/>
      <c r="S136" s="176"/>
      <c r="T136" s="177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</row>
    <row r="137" spans="1:34">
      <c r="A137" s="118"/>
      <c r="B137" s="118"/>
      <c r="C137" s="118"/>
      <c r="D137" s="118"/>
      <c r="E137" s="479">
        <f t="shared" ref="E137:F137" si="73">E200</f>
        <v>502</v>
      </c>
      <c r="F137" s="208">
        <f t="shared" si="73"/>
        <v>-37594.962962962956</v>
      </c>
      <c r="G137" s="192"/>
      <c r="H137" s="479">
        <f t="shared" ref="H137:I137" si="74">H200</f>
        <v>502</v>
      </c>
      <c r="I137" s="208">
        <f t="shared" si="74"/>
        <v>-34104</v>
      </c>
      <c r="J137" s="192"/>
      <c r="K137" s="479">
        <f t="shared" ref="K137:L137" si="75">K200</f>
        <v>502</v>
      </c>
      <c r="L137" s="208">
        <f t="shared" si="75"/>
        <v>-29001.777777777777</v>
      </c>
      <c r="M137" s="192"/>
      <c r="N137" s="479">
        <f t="shared" ref="N137:O137" si="76">N200</f>
        <v>502</v>
      </c>
      <c r="O137" s="208">
        <f t="shared" si="76"/>
        <v>-26853.629629629628</v>
      </c>
      <c r="P137" s="192"/>
      <c r="Q137" s="68"/>
      <c r="R137" s="68"/>
      <c r="S137" s="176"/>
      <c r="T137" s="177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</row>
    <row r="138" spans="1:34">
      <c r="A138" s="118"/>
      <c r="B138" s="118"/>
      <c r="C138" s="118"/>
      <c r="D138" s="118"/>
      <c r="E138" s="479">
        <f t="shared" ref="E138:F138" si="77">E201</f>
        <v>505</v>
      </c>
      <c r="F138" s="208">
        <f t="shared" si="77"/>
        <v>-7049.0555555555538</v>
      </c>
      <c r="G138" s="192"/>
      <c r="H138" s="479">
        <f t="shared" ref="H138:I138" si="78">H201</f>
        <v>505</v>
      </c>
      <c r="I138" s="208">
        <f t="shared" si="78"/>
        <v>-6394.5</v>
      </c>
      <c r="J138" s="192"/>
      <c r="K138" s="479">
        <f t="shared" ref="K138:L138" si="79">K201</f>
        <v>505</v>
      </c>
      <c r="L138" s="208">
        <f t="shared" si="79"/>
        <v>-5437.833333333333</v>
      </c>
      <c r="M138" s="192"/>
      <c r="N138" s="479">
        <f t="shared" ref="N138:O138" si="80">N201</f>
        <v>505</v>
      </c>
      <c r="O138" s="208">
        <f t="shared" si="80"/>
        <v>-5035.0555555555547</v>
      </c>
      <c r="P138" s="192"/>
      <c r="Q138" s="68"/>
      <c r="R138" s="68"/>
      <c r="S138" s="176"/>
      <c r="T138" s="177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</row>
    <row r="139" spans="1:34">
      <c r="A139" s="118"/>
      <c r="B139" s="118"/>
      <c r="C139" s="118"/>
      <c r="D139" s="118"/>
      <c r="E139" s="206"/>
      <c r="F139" s="208"/>
      <c r="G139" s="192"/>
      <c r="H139" s="206"/>
      <c r="I139" s="208"/>
      <c r="J139" s="192"/>
      <c r="K139" s="206"/>
      <c r="L139" s="208"/>
      <c r="M139" s="192"/>
      <c r="N139" s="206"/>
      <c r="O139" s="208"/>
      <c r="P139" s="192"/>
      <c r="Q139" s="68"/>
      <c r="R139" s="68"/>
      <c r="S139" s="176"/>
      <c r="T139" s="177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</row>
    <row r="140" spans="1:34">
      <c r="A140" s="118"/>
      <c r="B140" s="118"/>
      <c r="C140" s="118"/>
      <c r="D140" s="118"/>
      <c r="E140" s="206" t="str">
        <f t="shared" ref="E140" si="81">E203</f>
        <v>Sueldo líquido incluyendo aguinaldo</v>
      </c>
      <c r="F140" s="208"/>
      <c r="G140" s="192"/>
      <c r="H140" s="206" t="str">
        <f t="shared" ref="H140" si="82">H203</f>
        <v>Sueldo líquido incluyendo aguinaldo</v>
      </c>
      <c r="I140" s="208"/>
      <c r="J140" s="192"/>
      <c r="K140" s="206" t="str">
        <f t="shared" ref="K140" si="83">K203</f>
        <v>Sueldo líquido incluyendo aguinaldo</v>
      </c>
      <c r="L140" s="208"/>
      <c r="M140" s="192"/>
      <c r="N140" s="206" t="str">
        <f t="shared" ref="N140" si="84">N203</f>
        <v>Sueldo líquido incluyendo aguinaldo</v>
      </c>
      <c r="O140" s="208"/>
      <c r="P140" s="192"/>
      <c r="Q140" s="68"/>
      <c r="R140" s="68"/>
      <c r="S140" s="176"/>
      <c r="T140" s="177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</row>
    <row r="141" spans="1:34">
      <c r="A141" s="118"/>
      <c r="B141" s="118"/>
      <c r="C141" s="118"/>
      <c r="D141" s="118"/>
      <c r="E141" s="206"/>
      <c r="F141" s="209">
        <f t="shared" ref="F141" si="85">F204</f>
        <v>205510.5</v>
      </c>
      <c r="G141" s="192"/>
      <c r="H141" s="206"/>
      <c r="I141" s="209">
        <f t="shared" ref="I141" si="86">I204</f>
        <v>187837.50000000006</v>
      </c>
      <c r="J141" s="192"/>
      <c r="K141" s="206"/>
      <c r="L141" s="209">
        <f t="shared" ref="L141" si="87">L204</f>
        <v>158921.49999999997</v>
      </c>
      <c r="M141" s="192"/>
      <c r="N141" s="206"/>
      <c r="O141" s="209">
        <f t="shared" ref="O141" si="88">O204</f>
        <v>148046.49999999994</v>
      </c>
      <c r="P141" s="192"/>
      <c r="Q141" s="68"/>
      <c r="R141" s="68"/>
      <c r="S141" s="176"/>
      <c r="T141" s="177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</row>
    <row r="142" spans="1:34">
      <c r="A142" s="118"/>
      <c r="B142" s="118"/>
      <c r="C142" s="118"/>
      <c r="D142" s="118"/>
      <c r="E142" s="210" t="str">
        <f t="shared" ref="E142" si="89">E205</f>
        <v>Aguinaldo de bolsillo</v>
      </c>
      <c r="F142" s="211"/>
      <c r="G142" s="212"/>
      <c r="H142" s="210" t="str">
        <f t="shared" ref="H142" si="90">H205</f>
        <v>Aguinaldo de bolsillo</v>
      </c>
      <c r="I142" s="211"/>
      <c r="J142" s="212"/>
      <c r="K142" s="210" t="str">
        <f t="shared" ref="K142" si="91">K205</f>
        <v>Aguinaldo de bolsillo</v>
      </c>
      <c r="L142" s="211"/>
      <c r="M142" s="212"/>
      <c r="N142" s="210" t="str">
        <f t="shared" ref="N142" si="92">N205</f>
        <v>Aguinaldo de bolsillo</v>
      </c>
      <c r="O142" s="211"/>
      <c r="P142" s="212"/>
      <c r="Q142" s="68"/>
      <c r="R142" s="68"/>
      <c r="S142" s="176"/>
      <c r="T142" s="177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</row>
    <row r="143" spans="1:34" ht="16.5" thickBot="1">
      <c r="A143" s="118"/>
      <c r="B143" s="118"/>
      <c r="C143" s="118"/>
      <c r="D143" s="118"/>
      <c r="E143" s="213"/>
      <c r="F143" s="214">
        <f t="shared" ref="F143" si="93">F206</f>
        <v>63441.5</v>
      </c>
      <c r="G143" s="192"/>
      <c r="H143" s="213"/>
      <c r="I143" s="214">
        <f t="shared" ref="I143" si="94">I206</f>
        <v>57550.500000000029</v>
      </c>
      <c r="J143" s="192"/>
      <c r="K143" s="213"/>
      <c r="L143" s="214">
        <f t="shared" ref="L143" si="95">L206</f>
        <v>48940.499999999985</v>
      </c>
      <c r="M143" s="192"/>
      <c r="N143" s="213"/>
      <c r="O143" s="214">
        <f t="shared" ref="O143" si="96">O206</f>
        <v>45315.499999999971</v>
      </c>
      <c r="P143" s="192"/>
      <c r="Q143" s="68"/>
      <c r="R143" s="68"/>
      <c r="S143" s="176"/>
      <c r="T143" s="177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</row>
    <row r="144" spans="1:34" ht="18" hidden="1" customHeight="1" thickTop="1">
      <c r="A144" s="118"/>
      <c r="B144" s="60"/>
      <c r="C144" s="60"/>
      <c r="D144" s="60"/>
      <c r="E144" s="60"/>
      <c r="F144" s="60"/>
      <c r="G144" s="192"/>
      <c r="H144" s="60"/>
      <c r="I144" s="60"/>
      <c r="J144" s="192"/>
      <c r="K144" s="60"/>
      <c r="L144" s="60"/>
      <c r="M144" s="192"/>
      <c r="N144" s="60"/>
      <c r="O144" s="60"/>
      <c r="P144" s="192"/>
      <c r="Q144" s="68"/>
      <c r="R144" s="68"/>
      <c r="S144" s="176"/>
      <c r="T144" s="177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</row>
    <row r="145" spans="1:34" hidden="1">
      <c r="A145" s="118"/>
      <c r="B145" s="118"/>
      <c r="C145" s="118"/>
      <c r="D145" s="118"/>
      <c r="E145" s="118"/>
      <c r="F145" s="118"/>
      <c r="G145" s="175"/>
      <c r="H145" s="118"/>
      <c r="I145" s="118"/>
      <c r="J145" s="175"/>
      <c r="K145" s="118"/>
      <c r="L145" s="118"/>
      <c r="M145" s="175"/>
      <c r="N145" s="118"/>
      <c r="O145" s="118"/>
      <c r="P145" s="175"/>
      <c r="Q145" s="68"/>
      <c r="R145" s="68"/>
      <c r="S145" s="176"/>
      <c r="T145" s="177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</row>
    <row r="146" spans="1:34" hidden="1">
      <c r="A146" s="118"/>
      <c r="B146" s="118"/>
      <c r="C146" s="118"/>
      <c r="D146" s="118"/>
      <c r="E146" s="118"/>
      <c r="F146" s="118"/>
      <c r="G146" s="175"/>
      <c r="H146" s="118"/>
      <c r="I146" s="118"/>
      <c r="J146" s="175"/>
      <c r="K146" s="118"/>
      <c r="L146" s="118"/>
      <c r="M146" s="175"/>
      <c r="N146" s="118"/>
      <c r="O146" s="118"/>
      <c r="P146" s="175"/>
      <c r="Q146" s="68"/>
      <c r="R146" s="68"/>
      <c r="S146" s="176"/>
      <c r="T146" s="177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</row>
    <row r="147" spans="1:34" hidden="1">
      <c r="A147" s="118"/>
      <c r="B147" s="118"/>
      <c r="C147" s="118"/>
      <c r="D147" s="118"/>
      <c r="E147" s="118"/>
      <c r="F147" s="118"/>
      <c r="G147" s="175"/>
      <c r="H147" s="118"/>
      <c r="I147" s="118"/>
      <c r="J147" s="175"/>
      <c r="K147" s="118"/>
      <c r="L147" s="118"/>
      <c r="M147" s="175"/>
      <c r="N147" s="118"/>
      <c r="O147" s="118"/>
      <c r="P147" s="175"/>
      <c r="Q147" s="68"/>
      <c r="R147" s="68"/>
      <c r="S147" s="176"/>
      <c r="T147" s="177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</row>
    <row r="148" spans="1:34" hidden="1">
      <c r="A148" s="118"/>
      <c r="B148" s="118"/>
      <c r="C148" s="118"/>
      <c r="D148" s="118"/>
      <c r="E148" s="118"/>
      <c r="F148" s="118"/>
      <c r="G148" s="175"/>
      <c r="H148" s="118"/>
      <c r="I148" s="118"/>
      <c r="J148" s="175"/>
      <c r="K148" s="118"/>
      <c r="L148" s="118"/>
      <c r="M148" s="175"/>
      <c r="N148" s="118"/>
      <c r="O148" s="118"/>
      <c r="P148" s="175"/>
      <c r="Q148" s="68"/>
      <c r="R148" s="68"/>
      <c r="S148" s="176"/>
      <c r="T148" s="177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</row>
    <row r="149" spans="1:34" ht="18.75" hidden="1" thickBot="1">
      <c r="A149" s="118"/>
      <c r="B149" s="118"/>
      <c r="C149" s="118"/>
      <c r="D149" s="118"/>
      <c r="E149" s="40">
        <v>45047</v>
      </c>
      <c r="F149" s="693" t="s">
        <v>511</v>
      </c>
      <c r="G149" s="617"/>
      <c r="H149" s="40">
        <v>44986</v>
      </c>
      <c r="I149" s="693" t="s">
        <v>510</v>
      </c>
      <c r="J149" s="617"/>
      <c r="K149" s="40">
        <v>44958</v>
      </c>
      <c r="L149" s="744">
        <v>0.08</v>
      </c>
      <c r="M149" s="175"/>
      <c r="N149" s="40">
        <v>44896</v>
      </c>
      <c r="O149" s="693"/>
      <c r="P149" s="617"/>
      <c r="Q149" s="68"/>
      <c r="R149" s="68"/>
      <c r="S149" s="176"/>
      <c r="T149" s="177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</row>
    <row r="150" spans="1:34" ht="13.5" hidden="1" thickBot="1">
      <c r="A150" s="60"/>
      <c r="B150" s="215" t="s">
        <v>62</v>
      </c>
      <c r="C150" s="215" t="s">
        <v>63</v>
      </c>
      <c r="D150" s="215" t="s">
        <v>64</v>
      </c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69"/>
      <c r="R150" s="60"/>
      <c r="S150" s="69"/>
      <c r="T150" s="69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</row>
    <row r="151" spans="1:34" ht="13.5" hidden="1" thickBot="1">
      <c r="A151" s="60"/>
      <c r="B151" s="586">
        <v>1</v>
      </c>
      <c r="C151" s="217"/>
      <c r="D151" s="218" t="s">
        <v>67</v>
      </c>
      <c r="E151" s="219">
        <f>punbascar*indiceene23*Aumento3</f>
        <v>52384.207119999992</v>
      </c>
      <c r="F151" s="220"/>
      <c r="G151" s="221"/>
      <c r="H151" s="219">
        <f>punbascar*indiceene23*Aumento2</f>
        <v>47519.959315999993</v>
      </c>
      <c r="I151" s="220"/>
      <c r="J151" s="221"/>
      <c r="K151" s="219">
        <f>punbascar*indiceene23*Aumento1</f>
        <v>40410.674063999999</v>
      </c>
      <c r="L151" s="220"/>
      <c r="M151" s="221"/>
      <c r="N151" s="219">
        <f>punbascar*indiceene23</f>
        <v>37417.290799999995</v>
      </c>
      <c r="O151" s="220"/>
      <c r="P151" s="221"/>
      <c r="Q151" s="222"/>
      <c r="R151" s="60"/>
      <c r="S151" s="222"/>
      <c r="T151" s="222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</row>
    <row r="152" spans="1:34" ht="13.5" hidden="1" thickBot="1">
      <c r="A152" s="60"/>
      <c r="B152" s="587">
        <v>2</v>
      </c>
      <c r="C152" s="224"/>
      <c r="D152" s="225" t="s">
        <v>68</v>
      </c>
      <c r="E152" s="226">
        <f>compbas2016*indiceene23*Aumento3</f>
        <v>22372.534183999996</v>
      </c>
      <c r="F152" s="220"/>
      <c r="G152" s="227"/>
      <c r="H152" s="226">
        <f>compbas2016*indiceene23*Aumento2</f>
        <v>20295.084581199997</v>
      </c>
      <c r="I152" s="220"/>
      <c r="J152" s="227"/>
      <c r="K152" s="226">
        <f>compbas2016*indiceene23*Aumento1</f>
        <v>17258.8120848</v>
      </c>
      <c r="L152" s="220"/>
      <c r="M152" s="227"/>
      <c r="N152" s="226">
        <f>compbas2016*indiceene23</f>
        <v>15980.381559999998</v>
      </c>
      <c r="O152" s="220"/>
      <c r="P152" s="227"/>
      <c r="Q152" s="222"/>
      <c r="R152" s="144"/>
      <c r="S152" s="222"/>
      <c r="T152" s="222"/>
      <c r="U152" s="228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</row>
    <row r="153" spans="1:34" s="572" customFormat="1" ht="13.5" hidden="1" thickBot="1">
      <c r="A153" s="60"/>
      <c r="B153" s="587" t="s">
        <v>502</v>
      </c>
      <c r="C153" s="224"/>
      <c r="D153" s="590" t="s">
        <v>494</v>
      </c>
      <c r="E153" s="591">
        <f>puntosexten*indiceene23*Aumento3</f>
        <v>0</v>
      </c>
      <c r="F153" s="592"/>
      <c r="G153" s="593"/>
      <c r="H153" s="591">
        <f>puntosexten*indiceene23*Aumento2</f>
        <v>0</v>
      </c>
      <c r="I153" s="592"/>
      <c r="J153" s="593"/>
      <c r="K153" s="591">
        <f>puntosexten*indiceene23*Aumento1</f>
        <v>0</v>
      </c>
      <c r="L153" s="592"/>
      <c r="M153" s="593"/>
      <c r="N153" s="591">
        <f>puntosexten*indiceene23</f>
        <v>0</v>
      </c>
      <c r="O153" s="592"/>
      <c r="P153" s="593"/>
      <c r="Q153" s="222"/>
      <c r="R153" s="144"/>
      <c r="S153" s="222"/>
      <c r="T153" s="222"/>
      <c r="U153" s="228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</row>
    <row r="154" spans="1:34" ht="13.5" hidden="1" thickBot="1">
      <c r="A154" s="60"/>
      <c r="B154" s="588" t="s">
        <v>69</v>
      </c>
      <c r="C154" s="229"/>
      <c r="D154" s="230" t="s">
        <v>70</v>
      </c>
      <c r="E154" s="231">
        <f>IF(nina=0,compdir22*indiceene23,compdir16*indiceene23)*Aumento3</f>
        <v>0</v>
      </c>
      <c r="F154" s="220"/>
      <c r="G154" s="221"/>
      <c r="H154" s="231">
        <f>IF(nina=0,compdir22*indiceene23,compdir16*indiceene23)*Aumento2</f>
        <v>0</v>
      </c>
      <c r="I154" s="220"/>
      <c r="J154" s="221"/>
      <c r="K154" s="231">
        <f>IF(nina=0,compdir22*indiceene23,compdir16*indiceene23)*Aumento1</f>
        <v>0</v>
      </c>
      <c r="L154" s="220"/>
      <c r="M154" s="221"/>
      <c r="N154" s="231">
        <f>IF(nina=0,compdir22*indiceene23,compdir16*indiceene23)</f>
        <v>0</v>
      </c>
      <c r="O154" s="220"/>
      <c r="P154" s="221"/>
      <c r="Q154" s="222"/>
      <c r="R154" s="228"/>
      <c r="S154" s="232"/>
      <c r="T154" s="222"/>
      <c r="U154" s="228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</row>
    <row r="155" spans="1:34" ht="13.5" hidden="1" thickBot="1">
      <c r="A155" s="60"/>
      <c r="B155" s="587">
        <v>5</v>
      </c>
      <c r="C155" s="224"/>
      <c r="D155" s="225" t="s">
        <v>71</v>
      </c>
      <c r="E155" s="226">
        <f>puntosadicnina*Indiceproljorene23*Aumento3</f>
        <v>0</v>
      </c>
      <c r="F155" s="220"/>
      <c r="G155" s="221"/>
      <c r="H155" s="226">
        <f>puntosadicnina*Indiceproljorene23*Aumento2</f>
        <v>0</v>
      </c>
      <c r="I155" s="220"/>
      <c r="J155" s="221"/>
      <c r="K155" s="226">
        <f>puntosadicnina*Indiceproljorene23*Aumento1</f>
        <v>0</v>
      </c>
      <c r="L155" s="220"/>
      <c r="M155" s="221"/>
      <c r="N155" s="226">
        <f>puntosadicnina*Indiceproljorene23</f>
        <v>0</v>
      </c>
      <c r="O155" s="220"/>
      <c r="P155" s="221"/>
      <c r="Q155" s="233"/>
      <c r="R155" s="234"/>
      <c r="S155" s="233"/>
      <c r="T155" s="222"/>
      <c r="U155" s="228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</row>
    <row r="156" spans="1:34" ht="13.5" hidden="1" thickBot="1">
      <c r="A156" s="60"/>
      <c r="B156" s="589">
        <v>6</v>
      </c>
      <c r="C156" s="235"/>
      <c r="D156" s="235" t="s">
        <v>72</v>
      </c>
      <c r="E156" s="236">
        <f>LOOKUP(porantigcargo,porant,codigo06cargosene23)*Aumento3</f>
        <v>42016.799999999996</v>
      </c>
      <c r="F156" s="220"/>
      <c r="G156" s="237"/>
      <c r="H156" s="236">
        <f>LOOKUP(porantigcargo,porant,codigo06cargosene23)*Aumento2</f>
        <v>38115.24</v>
      </c>
      <c r="I156" s="220"/>
      <c r="J156" s="237"/>
      <c r="K156" s="236">
        <f>LOOKUP(porantigcargo,porant,codigo06cargosene23)*Aumento1</f>
        <v>32412.960000000003</v>
      </c>
      <c r="L156" s="220"/>
      <c r="M156" s="237"/>
      <c r="N156" s="236">
        <f>LOOKUP(porantigcargo,porant,codigo06cargosene23)</f>
        <v>30012</v>
      </c>
      <c r="O156" s="220"/>
      <c r="P156" s="237"/>
      <c r="Q156" s="239"/>
      <c r="R156" s="239"/>
      <c r="S156" s="239"/>
      <c r="T156" s="222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</row>
    <row r="157" spans="1:34" ht="14.25" hidden="1" customHeight="1" thickBot="1">
      <c r="A157" s="60"/>
      <c r="B157" s="587">
        <v>10</v>
      </c>
      <c r="C157" s="240">
        <f>D80</f>
        <v>0</v>
      </c>
      <c r="D157" s="224" t="s">
        <v>73</v>
      </c>
      <c r="E157" s="226">
        <f>(E151+E152+E153+E154+E155+E160+E161)*porantigcargo</f>
        <v>0</v>
      </c>
      <c r="F157" s="220"/>
      <c r="G157" s="237"/>
      <c r="H157" s="226">
        <f>(H151+H152+H153+H154+H155+H160+H161)*porantigcargo</f>
        <v>0</v>
      </c>
      <c r="I157" s="220"/>
      <c r="J157" s="237"/>
      <c r="K157" s="226">
        <f>(K151+K152+K153+K154+K155+K160+K161)*porantigcargo</f>
        <v>0</v>
      </c>
      <c r="L157" s="220"/>
      <c r="M157" s="237"/>
      <c r="N157" s="226">
        <f>(N151+N152+N153+N154+N155+N160+N161)*porantigcargo</f>
        <v>0</v>
      </c>
      <c r="O157" s="220"/>
      <c r="P157" s="237"/>
      <c r="Q157" s="239"/>
      <c r="R157" s="239"/>
      <c r="S157" s="239"/>
      <c r="T157" s="222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</row>
    <row r="158" spans="1:34" ht="13.5" hidden="1" thickBot="1">
      <c r="A158" s="60"/>
      <c r="B158" s="586">
        <v>14</v>
      </c>
      <c r="C158" s="217"/>
      <c r="D158" s="217" t="s">
        <v>74</v>
      </c>
      <c r="E158" s="219">
        <f>E156*0.07</f>
        <v>2941.1759999999999</v>
      </c>
      <c r="F158" s="220"/>
      <c r="G158" s="241">
        <f>IF(puntosproljor&gt;600,G166,G163)</f>
        <v>25205.861548659515</v>
      </c>
      <c r="H158" s="219">
        <f>H156*0.07</f>
        <v>2668.0668000000001</v>
      </c>
      <c r="I158" s="220"/>
      <c r="J158" s="241">
        <f>IF(puntosproljor&gt;600,J166,J163)</f>
        <v>22865.309020557019</v>
      </c>
      <c r="K158" s="219">
        <f>K156*0.07</f>
        <v>2268.9072000000006</v>
      </c>
      <c r="L158" s="220"/>
      <c r="M158" s="241">
        <f>IF(puntosproljor&gt;600,M166,M163)</f>
        <v>19444.323971518421</v>
      </c>
      <c r="N158" s="219">
        <f>N156*0.07</f>
        <v>2100.84</v>
      </c>
      <c r="O158" s="220"/>
      <c r="P158" s="241">
        <f>IF(puntosproljor&gt;600,P166,P163)</f>
        <v>18004.516478121594</v>
      </c>
      <c r="Q158" s="239"/>
      <c r="R158" s="239"/>
      <c r="S158" s="239"/>
      <c r="T158" s="222"/>
      <c r="U158" s="228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</row>
    <row r="159" spans="1:34" ht="13.5" hidden="1" thickBot="1">
      <c r="A159" s="60"/>
      <c r="B159" s="587">
        <v>188</v>
      </c>
      <c r="C159" s="240">
        <v>7.0000000000000007E-2</v>
      </c>
      <c r="D159" s="224" t="s">
        <v>75</v>
      </c>
      <c r="E159" s="242">
        <f>(E151+E152+E153+E154+E155+E157+E160+E161+E162+E163+E164)*0.07</f>
        <v>7306.6721596861662</v>
      </c>
      <c r="F159" s="220"/>
      <c r="G159" s="237"/>
      <c r="H159" s="242">
        <f>(H151+H152+H153+H154+H155+H157+H160+H161+H162+H163+H164)*0.07</f>
        <v>6628.1948822429913</v>
      </c>
      <c r="I159" s="220"/>
      <c r="J159" s="237"/>
      <c r="K159" s="242">
        <f>(K151+K152+K153+K154+K155+K157+K160+K161+K162+K163+K164)*0.07</f>
        <v>5636.5618204222901</v>
      </c>
      <c r="L159" s="220"/>
      <c r="M159" s="237"/>
      <c r="N159" s="242">
        <f>(N151+N152+N153+N154+N155+N157+N160+N161+N162+N163+N164)*0.07</f>
        <v>5219.0746186685128</v>
      </c>
      <c r="O159" s="220"/>
      <c r="P159" s="237"/>
      <c r="Q159" s="233"/>
      <c r="R159" s="234"/>
      <c r="S159" s="243"/>
      <c r="T159" s="222"/>
      <c r="U159" s="228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</row>
    <row r="160" spans="1:34" ht="13.5" hidden="1" thickBot="1">
      <c r="A160" s="60"/>
      <c r="B160" s="586">
        <v>52</v>
      </c>
      <c r="C160" s="217"/>
      <c r="D160" s="217" t="s">
        <v>76</v>
      </c>
      <c r="E160" s="219">
        <f>puntosproljor*Indiceproljorene23*Aumento3</f>
        <v>0</v>
      </c>
      <c r="F160" s="220"/>
      <c r="G160" s="244">
        <v>124781</v>
      </c>
      <c r="H160" s="219">
        <f>puntosproljor*Indiceproljorene23*Aumento2</f>
        <v>0</v>
      </c>
      <c r="I160" s="220"/>
      <c r="J160" s="244">
        <v>114604</v>
      </c>
      <c r="K160" s="219">
        <f>puntosproljor*Indiceproljorene23*Aumento1</f>
        <v>0</v>
      </c>
      <c r="L160" s="220"/>
      <c r="M160" s="244">
        <v>96645</v>
      </c>
      <c r="N160" s="219">
        <f>puntosproljor*Indiceproljorene23</f>
        <v>0</v>
      </c>
      <c r="O160" s="220"/>
      <c r="P160" s="244">
        <v>90382</v>
      </c>
      <c r="Q160" s="233"/>
      <c r="R160" s="727">
        <f>(102731-12100)*1.35+12100</f>
        <v>134451.85</v>
      </c>
      <c r="S160" s="233"/>
      <c r="T160" s="222"/>
      <c r="U160" s="245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</row>
    <row r="161" spans="1:34" ht="15" hidden="1" thickBot="1">
      <c r="A161" s="60"/>
      <c r="B161" s="587">
        <v>16</v>
      </c>
      <c r="C161" s="224"/>
      <c r="D161" s="224" t="s">
        <v>77</v>
      </c>
      <c r="E161" s="226">
        <f>puntostardif*indiceene23*Aumento3</f>
        <v>0</v>
      </c>
      <c r="F161" s="220"/>
      <c r="G161" s="246">
        <f>IF((totalremmay23-E162*1.07)*0.81&lt;G160-E168-E170-E171,(G160-E168-E170-E171-(totalremmay23-E162*1.07)*0.81)/0.81,0)/1.07</f>
        <v>5258.9364303948378</v>
      </c>
      <c r="H161" s="226">
        <f>puntostardif*indiceene23*Aumento2</f>
        <v>0</v>
      </c>
      <c r="I161" s="220"/>
      <c r="J161" s="246">
        <f>IF((totalremmar23-H162*1.07)*0.81&lt;J160-H168-H170-H171,(J160-H168-H170-H171-(totalremmar23-H162*1.07)*0.81)/0.81,0)/1.07</f>
        <v>4770.2357541441916</v>
      </c>
      <c r="K161" s="226">
        <f>puntostardif*indiceene23*Aumento1</f>
        <v>0</v>
      </c>
      <c r="L161" s="220"/>
      <c r="M161" s="246">
        <f>IF((totalremfeb23-K162*1.07)*0.81&lt;M160-K168-K170-K171,(M160-K168-K170-K171-(totalremfeb23-K162*1.07)*0.81)/0.81,0)/1.07</f>
        <v>4057.2234753836578</v>
      </c>
      <c r="N161" s="226">
        <f>puntostardif*indiceene23</f>
        <v>0</v>
      </c>
      <c r="O161" s="220"/>
      <c r="P161" s="246">
        <f>IF((totalremocatavoaumFonidene23-N162*1.07)*0.81&lt;P160-N168-N170-N171,(P160-N168-N170-N171-(totalremocatavoaumFonidene23-N162*1.07)*0.81)/0.81,0)/1.07</f>
        <v>3756.2183357424569</v>
      </c>
      <c r="Q161" s="233"/>
      <c r="R161" s="234"/>
      <c r="S161" s="233"/>
      <c r="T161" s="222"/>
      <c r="U161" s="228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</row>
    <row r="162" spans="1:34" ht="16.5" hidden="1" thickBot="1">
      <c r="A162" s="60"/>
      <c r="B162" s="586">
        <v>78</v>
      </c>
      <c r="C162" s="521">
        <f>C99</f>
        <v>0</v>
      </c>
      <c r="D162" s="217" t="s">
        <v>78</v>
      </c>
      <c r="E162" s="247">
        <f>(E151+E152+E153+E154+E155+E160+E161)*porzonacargo</f>
        <v>0</v>
      </c>
      <c r="F162" s="643"/>
      <c r="G162" s="244">
        <v>142069</v>
      </c>
      <c r="H162" s="247">
        <f>(H151+H152+H153+H154+H155+H160+H161)*porzonacargo</f>
        <v>0</v>
      </c>
      <c r="I162" s="643"/>
      <c r="J162" s="244">
        <v>130287</v>
      </c>
      <c r="K162" s="247">
        <f>(K151+K152+K153+K154+K155+K160+K161)*porzonacargo</f>
        <v>0</v>
      </c>
      <c r="L162" s="643"/>
      <c r="M162" s="244">
        <v>109981</v>
      </c>
      <c r="N162" s="247">
        <f>(N151+N152+N153+N154+N155+N160+N161)*porzonacargo</f>
        <v>0</v>
      </c>
      <c r="O162" s="643"/>
      <c r="P162" s="244">
        <v>102731</v>
      </c>
      <c r="Q162" s="233"/>
      <c r="R162" s="728">
        <f>M162/P162-1</f>
        <v>7.0572660637976847E-2</v>
      </c>
      <c r="S162" s="243"/>
      <c r="T162" s="222"/>
      <c r="U162" s="245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</row>
    <row r="163" spans="1:34" ht="15" hidden="1" thickBot="1">
      <c r="A163" s="60"/>
      <c r="B163" s="587">
        <v>185</v>
      </c>
      <c r="C163" s="224"/>
      <c r="D163" s="248" t="s">
        <v>79</v>
      </c>
      <c r="E163" s="249">
        <f>IF(punbascar&lt;980,IF(punbascar&lt;913,G161,G158),0)</f>
        <v>25205.861548659515</v>
      </c>
      <c r="F163" s="220"/>
      <c r="G163" s="246">
        <f>IF((totalremmay23-E162*1.07-E153*(1+porantigcargo+porzonacargo)*1.07)*0.81&lt;G162-E168-E170-E171,(G162-E168-E170-E171-(totalremmay23-E162*1.07-E153*(1+porantigcargo+porzonacargo)*1.07)*0.81)/0.81,0)/1.07</f>
        <v>25205.861548659515</v>
      </c>
      <c r="H163" s="249">
        <f>IF(punbascar&lt;980,IF(punbascar&lt;913,J161,J158),0)</f>
        <v>22865.309020557019</v>
      </c>
      <c r="I163" s="220"/>
      <c r="J163" s="246">
        <f>IF((totalremmar23-H162*1.07-H153*(1+porantigcargo+porzonacargo)*1.07)*0.81&lt;J162-H168-H170-H171,(J162-H168-H170-H171-(totalremmar23-H162*1.07-H153*(1+porantigcargo+porzonacargo)*1.07)*0.81)/0.81,0)/1.07</f>
        <v>22865.309020557019</v>
      </c>
      <c r="K163" s="249">
        <f>IF(punbascar&lt;980,IF(punbascar&lt;913,M161,M158),0)</f>
        <v>19444.323971518421</v>
      </c>
      <c r="L163" s="220"/>
      <c r="M163" s="246">
        <f>IF((totalremfeb23-K162*1.07-K153*(1+porantigcargo+porzonacargo)*1.07)*0.81&lt;M162-K168-K170-K171,(M162-K168-K170-K171-(totalremfeb23-K162*1.07-K153*(1+porantigcargo+porzonacargo)*1.07)*0.81)/0.81,0)/1.07</f>
        <v>19444.323971518421</v>
      </c>
      <c r="N163" s="249">
        <f>IF(punbascar&lt;980,IF(punbascar&lt;913,P161,P158),0)</f>
        <v>18004.516478121594</v>
      </c>
      <c r="O163" s="220"/>
      <c r="P163" s="246">
        <f>IF((totalremocatavoaumFonidene23-N162*1.07-N153*(1+porantigcargo+porzonacargo)*1.07)*0.81&lt;P162-N168-N170-N171,(P162-N168-N170-N171-(totalremocatavoaumFonidene23-N162*1.07-N153*(1+porantigcargo+porzonacargo)*1.07)*0.81)/0.81,0)/1.07</f>
        <v>18004.516478121594</v>
      </c>
      <c r="Q163" s="233"/>
      <c r="R163" s="234"/>
      <c r="S163" s="250"/>
      <c r="T163" s="222"/>
      <c r="U163" s="228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</row>
    <row r="164" spans="1:34" ht="16.5" hidden="1" thickBot="1">
      <c r="A164" s="60"/>
      <c r="B164" s="586" t="s">
        <v>80</v>
      </c>
      <c r="C164" s="520">
        <f>C101</f>
        <v>1</v>
      </c>
      <c r="D164" s="217" t="s">
        <v>81</v>
      </c>
      <c r="E164" s="231">
        <f>IF(AND(puntosproljor&lt;620,punbascar&lt;2200),3156.02,6312.05)*$C164*Aumento3</f>
        <v>4418.4279999999999</v>
      </c>
      <c r="F164" s="220"/>
      <c r="G164" s="237"/>
      <c r="H164" s="231">
        <f>IF(AND(puntosproljor&lt;620,punbascar&lt;2200),3156.02,6312.05)*$C164*Aumento2</f>
        <v>4008.1453999999999</v>
      </c>
      <c r="I164" s="220"/>
      <c r="J164" s="237"/>
      <c r="K164" s="231">
        <f>IF(AND(puntosproljor&lt;620,punbascar&lt;2200),3156.02,6312.05)*$C164*Aumento1</f>
        <v>3408.5016000000001</v>
      </c>
      <c r="L164" s="220"/>
      <c r="M164" s="237"/>
      <c r="N164" s="231">
        <f>IF(AND(puntosproljor&lt;620,punbascar&lt;2200),3156.02,6312.05)*$C164</f>
        <v>3156.02</v>
      </c>
      <c r="O164" s="220"/>
      <c r="P164" s="237"/>
      <c r="Q164" s="222"/>
      <c r="R164" s="251"/>
      <c r="S164" s="228"/>
      <c r="T164" s="252"/>
      <c r="U164" s="251"/>
      <c r="V164" s="228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</row>
    <row r="165" spans="1:34" ht="13.5" hidden="1" thickBot="1">
      <c r="A165" s="60"/>
      <c r="B165" s="586">
        <v>29</v>
      </c>
      <c r="C165" s="253">
        <f>cantkm</f>
        <v>0</v>
      </c>
      <c r="D165" s="217" t="s">
        <v>82</v>
      </c>
      <c r="E165" s="231">
        <f>IF(kmsem&lt;300,kmsem*14.3008*4,17161)*Aumento3</f>
        <v>0</v>
      </c>
      <c r="F165" s="254"/>
      <c r="G165" s="244">
        <v>194210</v>
      </c>
      <c r="H165" s="231">
        <f>IF(kmsem&lt;300,kmsem*14.3008*4,17161)*Aumento2</f>
        <v>0</v>
      </c>
      <c r="I165" s="254"/>
      <c r="J165" s="244">
        <v>178996</v>
      </c>
      <c r="K165" s="231">
        <f>IF(kmsem&lt;300,kmsem*14.3008*4,17161)*Aumento1</f>
        <v>0</v>
      </c>
      <c r="L165" s="254"/>
      <c r="M165" s="244">
        <v>150589</v>
      </c>
      <c r="N165" s="231">
        <f>IF(kmsem&lt;300,kmsem*14.3008*4,17161)</f>
        <v>0</v>
      </c>
      <c r="O165" s="254"/>
      <c r="P165" s="244">
        <v>141227</v>
      </c>
      <c r="Q165" s="222"/>
      <c r="R165" s="714"/>
      <c r="S165" s="245"/>
      <c r="T165" s="222"/>
      <c r="U165" s="222"/>
      <c r="V165" s="245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</row>
    <row r="166" spans="1:34" hidden="1" thickBot="1">
      <c r="A166" s="60"/>
      <c r="B166" s="223" t="s">
        <v>83</v>
      </c>
      <c r="C166" s="224" t="s">
        <v>84</v>
      </c>
      <c r="D166" s="224"/>
      <c r="E166" s="255">
        <f>E103</f>
        <v>0</v>
      </c>
      <c r="F166" s="220"/>
      <c r="G166" s="246">
        <f>IF((totalremmay23-E162*1.07)*0.81&lt;G165-E168-E170-E171,(G165-E168-E170-E171-(totalremmay23-E162*1.07)*0.81)/0.81,0)/1.07</f>
        <v>85366.239995642318</v>
      </c>
      <c r="H166" s="255">
        <f>H103</f>
        <v>0</v>
      </c>
      <c r="I166" s="220"/>
      <c r="J166" s="246">
        <f>IF((totalremmar23-H162*1.07)*0.81&lt;J165-H168-H170-H171,(J165-H168-H170-H171-(totalremmar23-H162*1.07)*0.81)/0.81,0)/1.07</f>
        <v>79065.839769374361</v>
      </c>
      <c r="K166" s="255">
        <f>K103</f>
        <v>0</v>
      </c>
      <c r="L166" s="220"/>
      <c r="M166" s="246">
        <f>IF((totalremfeb23-K162*1.07)*0.81&lt;M165-K168-K170-K171,(M165-K168-K170-K171-(totalremfeb23-K162*1.07)*0.81)/0.81,0)/1.07</f>
        <v>66297.906526035556</v>
      </c>
      <c r="N166" s="255">
        <f>N103</f>
        <v>0</v>
      </c>
      <c r="O166" s="220"/>
      <c r="P166" s="246">
        <f>IF((totalremocatavoaumFonidene23-N162*1.07)*0.81&lt;P165-N168-N170-N171,(P165-N168-N170-N171-(totalremocatavoaumFonidene23-N162*1.07)*0.81)/0.81,0)/1.07</f>
        <v>62421.269679921526</v>
      </c>
      <c r="Q166" s="256"/>
      <c r="R166" s="251"/>
      <c r="S166" s="228"/>
      <c r="T166" s="256"/>
      <c r="U166" s="251"/>
      <c r="V166" s="228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</row>
    <row r="167" spans="1:34" ht="16.5" hidden="1" thickBot="1">
      <c r="A167" s="60"/>
      <c r="B167" s="223"/>
      <c r="C167" s="224"/>
      <c r="D167" s="257" t="s">
        <v>85</v>
      </c>
      <c r="E167" s="258">
        <f>SUM(E151:E164,E165,E166)</f>
        <v>156645.67901234567</v>
      </c>
      <c r="F167" s="708"/>
      <c r="G167" s="259"/>
      <c r="H167" s="258">
        <f>SUM(H151:H164,H165,H166)</f>
        <v>142100.00000000003</v>
      </c>
      <c r="I167" s="708"/>
      <c r="J167" s="259"/>
      <c r="K167" s="258">
        <f>SUM(K151:K164,K165,K166)</f>
        <v>120840.74074074072</v>
      </c>
      <c r="L167" s="708"/>
      <c r="M167" s="259"/>
      <c r="N167" s="258">
        <f>SUM(N151:N164,N165,N166)</f>
        <v>111890.1234567901</v>
      </c>
      <c r="P167" s="259"/>
      <c r="Q167" s="260"/>
      <c r="R167" s="251"/>
      <c r="S167" s="60"/>
      <c r="T167" s="260"/>
      <c r="U167" s="251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</row>
    <row r="168" spans="1:34" ht="16.5" hidden="1" thickBot="1">
      <c r="A168" s="60"/>
      <c r="B168" s="586">
        <v>84</v>
      </c>
      <c r="C168" s="520">
        <f>C105</f>
        <v>1</v>
      </c>
      <c r="D168" s="217" t="s">
        <v>86</v>
      </c>
      <c r="E168" s="231">
        <f>IF(AND(puntosproljor&lt;620,punbascar&lt;2200),10436,20872)*$C168</f>
        <v>10436</v>
      </c>
      <c r="F168" s="220"/>
      <c r="G168" s="237"/>
      <c r="H168" s="231">
        <f>IF(AND(puntosproljor&lt;620,punbascar&lt;2200),10436,20872)*$C168</f>
        <v>10436</v>
      </c>
      <c r="I168" s="220"/>
      <c r="J168" s="237"/>
      <c r="K168" s="231">
        <f>IF(AND(puntosproljor&lt;620,punbascar&lt;2200),7350,14700)*$C168</f>
        <v>7350</v>
      </c>
      <c r="L168" s="220"/>
      <c r="M168" s="237"/>
      <c r="N168" s="231">
        <f>IF(AND(puntosproljor&lt;620,punbascar&lt;2200),7350,14700)*$C168</f>
        <v>7350</v>
      </c>
      <c r="O168" s="220"/>
      <c r="P168" s="237"/>
      <c r="Q168" s="252"/>
      <c r="R168" s="251"/>
      <c r="S168" s="60"/>
      <c r="T168" s="252"/>
      <c r="U168" s="251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</row>
    <row r="169" spans="1:34" ht="16.5" hidden="1" thickBot="1">
      <c r="A169" s="60"/>
      <c r="B169" s="587">
        <v>99</v>
      </c>
      <c r="C169" s="261"/>
      <c r="D169" s="224" t="s">
        <v>87</v>
      </c>
      <c r="E169" s="255">
        <f>E106</f>
        <v>0</v>
      </c>
      <c r="F169" s="220"/>
      <c r="G169" s="237"/>
      <c r="H169" s="255">
        <f>H106</f>
        <v>0</v>
      </c>
      <c r="I169" s="220"/>
      <c r="J169" s="237"/>
      <c r="K169" s="255">
        <f>K106</f>
        <v>0</v>
      </c>
      <c r="L169" s="220"/>
      <c r="M169" s="237"/>
      <c r="N169" s="255">
        <f>N106</f>
        <v>0</v>
      </c>
      <c r="O169" s="220"/>
      <c r="P169" s="237"/>
      <c r="Q169" s="262"/>
      <c r="R169" s="251"/>
      <c r="S169" s="60"/>
      <c r="T169" s="262"/>
      <c r="U169" s="251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</row>
    <row r="170" spans="1:34" ht="16.5" hidden="1" thickBot="1">
      <c r="A170" s="60"/>
      <c r="B170" s="586">
        <v>54</v>
      </c>
      <c r="C170" s="520">
        <f>C107</f>
        <v>1</v>
      </c>
      <c r="D170" s="217" t="s">
        <v>88</v>
      </c>
      <c r="E170" s="231">
        <f>IF(AND(puntosproljor&lt;620,punbascar&lt;2200),2250,4500)*$C170</f>
        <v>2250</v>
      </c>
      <c r="F170" s="220"/>
      <c r="G170" s="238"/>
      <c r="H170" s="231">
        <f>IF(AND(puntosproljor&lt;620,punbascar&lt;2200),2250,4500)*$C170</f>
        <v>2250</v>
      </c>
      <c r="I170" s="220"/>
      <c r="J170" s="238"/>
      <c r="K170" s="231">
        <f>IF(AND(puntosproljor&lt;620,punbascar&lt;2200),2250,4500)*$C170</f>
        <v>2250</v>
      </c>
      <c r="L170" s="220"/>
      <c r="M170" s="238"/>
      <c r="N170" s="231">
        <f>IF(AND(puntosproljor&lt;620,punbascar&lt;2200),2250,4500)*$C170</f>
        <v>2250</v>
      </c>
      <c r="O170" s="220"/>
      <c r="P170" s="238"/>
      <c r="Q170" s="252"/>
      <c r="R170" s="251"/>
      <c r="S170" s="60"/>
      <c r="T170" s="252"/>
      <c r="U170" s="251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</row>
    <row r="171" spans="1:34" s="691" customFormat="1" ht="16.5" hidden="1" thickBot="1">
      <c r="A171" s="60"/>
      <c r="B171" s="705">
        <v>64</v>
      </c>
      <c r="C171" s="520">
        <f>C109</f>
        <v>0</v>
      </c>
      <c r="D171" s="217" t="s">
        <v>507</v>
      </c>
      <c r="E171" s="231">
        <f>IF(AND(puntosproljor&lt;620,punbascar&lt;2200),2500,5000)*$C170</f>
        <v>2500</v>
      </c>
      <c r="F171" s="220"/>
      <c r="G171" s="238"/>
      <c r="H171" s="231">
        <f>IF(AND(puntosproljor&lt;620,punbascar&lt;2200),2500,5000)*$C170</f>
        <v>2500</v>
      </c>
      <c r="I171" s="220"/>
      <c r="J171" s="238"/>
      <c r="K171" s="231">
        <f>IF(AND(puntosproljor&lt;620,punbascar&lt;2200),2500,5000)*$C170</f>
        <v>2500</v>
      </c>
      <c r="L171" s="220"/>
      <c r="M171" s="238"/>
      <c r="N171" s="231">
        <f>IF(AND(puntosproljor&lt;620,punbascar&lt;2200),2500,5000)*$C170</f>
        <v>2500</v>
      </c>
      <c r="O171" s="220"/>
      <c r="P171" s="238"/>
      <c r="Q171" s="252"/>
      <c r="R171" s="251"/>
      <c r="S171" s="60"/>
      <c r="T171" s="252"/>
      <c r="U171" s="251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</row>
    <row r="172" spans="1:34" ht="16.5" hidden="1" thickBot="1">
      <c r="A172" s="60"/>
      <c r="B172" s="587"/>
      <c r="C172" s="257"/>
      <c r="D172" s="263" t="s">
        <v>89</v>
      </c>
      <c r="E172" s="258">
        <f>SUM(E167:E171)</f>
        <v>171831.67901234567</v>
      </c>
      <c r="F172" s="220"/>
      <c r="G172" s="264"/>
      <c r="H172" s="258">
        <f>SUM(H167:H171)</f>
        <v>157286.00000000003</v>
      </c>
      <c r="I172" s="220"/>
      <c r="J172" s="264"/>
      <c r="K172" s="258">
        <f>SUM(K167:K171)</f>
        <v>132940.74074074073</v>
      </c>
      <c r="L172" s="220"/>
      <c r="M172" s="264"/>
      <c r="N172" s="258">
        <f>SUM(N167:N171)</f>
        <v>123990.1234567901</v>
      </c>
      <c r="O172" s="220"/>
      <c r="P172" s="264"/>
      <c r="Q172" s="260"/>
      <c r="R172" s="265"/>
      <c r="S172" s="60"/>
      <c r="T172" s="260"/>
      <c r="U172" s="265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</row>
    <row r="173" spans="1:34" hidden="1" thickBot="1">
      <c r="A173" s="60"/>
      <c r="B173" s="586">
        <v>440</v>
      </c>
      <c r="C173" s="215"/>
      <c r="D173" s="217" t="s">
        <v>90</v>
      </c>
      <c r="E173" s="255">
        <f>E110</f>
        <v>0</v>
      </c>
      <c r="F173" s="253">
        <f>-E173</f>
        <v>0</v>
      </c>
      <c r="G173" s="238"/>
      <c r="H173" s="255">
        <f>H110</f>
        <v>0</v>
      </c>
      <c r="I173" s="253">
        <f>-H173</f>
        <v>0</v>
      </c>
      <c r="J173" s="238"/>
      <c r="K173" s="255">
        <f>K110</f>
        <v>0</v>
      </c>
      <c r="L173" s="253">
        <f>-K173</f>
        <v>0</v>
      </c>
      <c r="M173" s="238"/>
      <c r="N173" s="255">
        <f>N110</f>
        <v>0</v>
      </c>
      <c r="O173" s="253">
        <f>-N173</f>
        <v>0</v>
      </c>
      <c r="P173" s="238"/>
      <c r="Q173" s="262"/>
      <c r="R173" s="95"/>
      <c r="S173" s="222"/>
      <c r="T173" s="262"/>
      <c r="U173" s="95"/>
      <c r="V173" s="222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</row>
    <row r="174" spans="1:34" ht="16.5" hidden="1" thickBot="1">
      <c r="A174" s="60"/>
      <c r="B174" s="587">
        <v>502</v>
      </c>
      <c r="C174" s="568">
        <v>0.16</v>
      </c>
      <c r="D174" s="266" t="s">
        <v>91</v>
      </c>
      <c r="E174" s="267"/>
      <c r="F174" s="268">
        <f>-totalremmay23*porjub-porjub*1.07*E163</f>
        <v>-25063.308641975305</v>
      </c>
      <c r="G174" s="238"/>
      <c r="H174" s="267"/>
      <c r="I174" s="268">
        <f>-totalremmar23*porjub-porjub*1.07*H163</f>
        <v>-22736</v>
      </c>
      <c r="J174" s="238"/>
      <c r="K174" s="267"/>
      <c r="L174" s="268">
        <f>-totalremfeb23*porjub-porjub*1.07*K163</f>
        <v>-19334.518518518518</v>
      </c>
      <c r="M174" s="238"/>
      <c r="N174" s="267"/>
      <c r="O174" s="268">
        <f>-totalremocatavoaumFonidene23*porjub-porjub*1.07*N163</f>
        <v>-17902.419753086418</v>
      </c>
      <c r="P174" s="238"/>
      <c r="Q174" s="83"/>
      <c r="R174" s="269"/>
      <c r="S174" s="270"/>
      <c r="T174" s="83"/>
      <c r="U174" s="269"/>
      <c r="V174" s="27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</row>
    <row r="175" spans="1:34" ht="16.5" hidden="1" thickBot="1">
      <c r="A175" s="60"/>
      <c r="B175" s="587">
        <v>505</v>
      </c>
      <c r="C175" s="568">
        <v>0.03</v>
      </c>
      <c r="D175" s="266" t="s">
        <v>92</v>
      </c>
      <c r="E175" s="267"/>
      <c r="F175" s="268">
        <f>-totalremmay23*poros-poros*1.07*E163</f>
        <v>-4699.3703703703704</v>
      </c>
      <c r="G175" s="238"/>
      <c r="H175" s="267"/>
      <c r="I175" s="268">
        <f>-totalremmar23*poros-poros*1.07*H163</f>
        <v>-4262.9999999999991</v>
      </c>
      <c r="J175" s="238"/>
      <c r="K175" s="267"/>
      <c r="L175" s="268">
        <f>-totalremfeb23*poros-poros*1.07*K163</f>
        <v>-3625.2222222222217</v>
      </c>
      <c r="M175" s="238"/>
      <c r="N175" s="267"/>
      <c r="O175" s="268">
        <f>-totalremocatavoaumFonidene23*poros-poros*1.07*N163</f>
        <v>-3356.7037037037035</v>
      </c>
      <c r="P175" s="238"/>
      <c r="Q175" s="83"/>
      <c r="R175" s="269"/>
      <c r="S175" s="270"/>
      <c r="T175" s="83"/>
      <c r="U175" s="269"/>
      <c r="V175" s="27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</row>
    <row r="176" spans="1:34" hidden="1" thickBot="1">
      <c r="A176" s="60"/>
      <c r="B176" s="586">
        <v>510</v>
      </c>
      <c r="C176" s="217"/>
      <c r="D176" s="220" t="s">
        <v>93</v>
      </c>
      <c r="E176" s="255">
        <f>E113</f>
        <v>0</v>
      </c>
      <c r="F176" s="253">
        <f>-E176</f>
        <v>0</v>
      </c>
      <c r="G176" s="238"/>
      <c r="H176" s="255">
        <f>H113</f>
        <v>0</v>
      </c>
      <c r="I176" s="253">
        <f>-H176</f>
        <v>0</v>
      </c>
      <c r="J176" s="238"/>
      <c r="K176" s="255">
        <f>K113</f>
        <v>0</v>
      </c>
      <c r="L176" s="253">
        <f>-K176</f>
        <v>0</v>
      </c>
      <c r="M176" s="238"/>
      <c r="N176" s="255">
        <f>N113</f>
        <v>0</v>
      </c>
      <c r="O176" s="253">
        <f>-N176</f>
        <v>0</v>
      </c>
      <c r="P176" s="238"/>
      <c r="Q176" s="262"/>
      <c r="R176" s="95"/>
      <c r="S176" s="270"/>
      <c r="T176" s="262"/>
      <c r="U176" s="95"/>
      <c r="V176" s="27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</row>
    <row r="177" spans="1:34" ht="16.5" hidden="1" thickBot="1">
      <c r="A177" s="60"/>
      <c r="B177" s="587">
        <v>332</v>
      </c>
      <c r="C177" s="521">
        <f>C114</f>
        <v>0</v>
      </c>
      <c r="D177" s="266" t="s">
        <v>94</v>
      </c>
      <c r="E177" s="271"/>
      <c r="F177" s="268">
        <f>-totalremmay23*$C177-E163*$C177-(E168+E169)*$C177</f>
        <v>0</v>
      </c>
      <c r="G177" s="238"/>
      <c r="H177" s="271"/>
      <c r="I177" s="268">
        <f>-totalremmar23*$C177-H163*$C177-(H168+H169)*$C177</f>
        <v>0</v>
      </c>
      <c r="J177" s="238"/>
      <c r="K177" s="271"/>
      <c r="L177" s="268">
        <f>-totalremfeb23*$C177-K163*$C177-(K168+K169)*$C177</f>
        <v>0</v>
      </c>
      <c r="M177" s="238"/>
      <c r="N177" s="271"/>
      <c r="O177" s="268">
        <f>-totalremocatavoaumFonidene23*$C177-N163*$C177-(N168+N169)*$C177</f>
        <v>0</v>
      </c>
      <c r="P177" s="238"/>
      <c r="Q177" s="262"/>
      <c r="R177" s="269"/>
      <c r="S177" s="270"/>
      <c r="T177" s="262"/>
      <c r="U177" s="269"/>
      <c r="V177" s="27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</row>
    <row r="178" spans="1:34" ht="16.5" hidden="1" thickBot="1">
      <c r="A178" s="60"/>
      <c r="B178" s="216"/>
      <c r="C178" s="521"/>
      <c r="D178" s="217" t="s">
        <v>95</v>
      </c>
      <c r="E178" s="717">
        <f>E115</f>
        <v>0</v>
      </c>
      <c r="F178" s="253">
        <f>-E178</f>
        <v>0</v>
      </c>
      <c r="G178" s="238"/>
      <c r="H178" s="717">
        <f>H115</f>
        <v>0</v>
      </c>
      <c r="I178" s="253">
        <f>-H178</f>
        <v>0</v>
      </c>
      <c r="J178" s="238"/>
      <c r="K178" s="717">
        <f>K115</f>
        <v>0</v>
      </c>
      <c r="L178" s="253">
        <f>-K178</f>
        <v>0</v>
      </c>
      <c r="M178" s="238"/>
      <c r="N178" s="717">
        <f>N115</f>
        <v>0</v>
      </c>
      <c r="O178" s="253">
        <f>-N178</f>
        <v>0</v>
      </c>
      <c r="P178" s="238"/>
      <c r="Q178" s="262"/>
      <c r="R178" s="95"/>
      <c r="S178" s="270"/>
      <c r="T178" s="262"/>
      <c r="U178" s="95"/>
      <c r="V178" s="27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</row>
    <row r="179" spans="1:34" ht="16.5" hidden="1" thickBot="1">
      <c r="A179" s="60"/>
      <c r="B179" s="223"/>
      <c r="C179" s="257"/>
      <c r="D179" s="263" t="s">
        <v>96</v>
      </c>
      <c r="E179" s="273"/>
      <c r="F179" s="274">
        <f>SUM(F173:F178)</f>
        <v>-29762.679012345674</v>
      </c>
      <c r="G179" s="264"/>
      <c r="H179" s="273"/>
      <c r="I179" s="274">
        <f>SUM(I173:I178)</f>
        <v>-26999</v>
      </c>
      <c r="J179" s="264"/>
      <c r="K179" s="273"/>
      <c r="L179" s="274">
        <f>SUM(L173:L178)</f>
        <v>-22959.740740740741</v>
      </c>
      <c r="M179" s="264"/>
      <c r="N179" s="273"/>
      <c r="O179" s="274">
        <f>SUM(O173:O178)</f>
        <v>-21259.123456790123</v>
      </c>
      <c r="P179" s="264"/>
      <c r="Q179" s="118"/>
      <c r="R179" s="275"/>
      <c r="S179" s="228"/>
      <c r="T179" s="118"/>
      <c r="U179" s="275"/>
      <c r="V179" s="228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</row>
    <row r="180" spans="1:34" ht="13.5" hidden="1" thickBot="1">
      <c r="A180" s="60"/>
      <c r="B180" s="216"/>
      <c r="C180" s="217"/>
      <c r="D180" s="253"/>
      <c r="E180" s="217"/>
      <c r="F180" s="217"/>
      <c r="G180" s="276"/>
      <c r="H180" s="217"/>
      <c r="I180" s="217"/>
      <c r="J180" s="276"/>
      <c r="K180" s="217"/>
      <c r="L180" s="217"/>
      <c r="M180" s="276"/>
      <c r="N180" s="217"/>
      <c r="O180" s="217"/>
      <c r="P180" s="276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</row>
    <row r="181" spans="1:34" ht="24" hidden="1" thickBot="1">
      <c r="A181" s="60"/>
      <c r="B181" s="216"/>
      <c r="C181" s="217"/>
      <c r="D181" s="217"/>
      <c r="E181" s="277" t="s">
        <v>97</v>
      </c>
      <c r="F181" s="278">
        <f>E172+F179</f>
        <v>142069</v>
      </c>
      <c r="G181" s="238"/>
      <c r="H181" s="277" t="s">
        <v>97</v>
      </c>
      <c r="I181" s="278">
        <f>H172+I179</f>
        <v>130287.00000000003</v>
      </c>
      <c r="J181" s="238"/>
      <c r="K181" s="277" t="s">
        <v>97</v>
      </c>
      <c r="L181" s="278">
        <f>K172+L179</f>
        <v>109980.99999999999</v>
      </c>
      <c r="M181" s="238"/>
      <c r="N181" s="277" t="s">
        <v>97</v>
      </c>
      <c r="O181" s="278">
        <f>N172+O179</f>
        <v>102730.99999999997</v>
      </c>
      <c r="P181" s="238"/>
      <c r="Q181" s="68"/>
      <c r="R181" s="279"/>
      <c r="S181" s="60"/>
      <c r="T181" s="68"/>
      <c r="U181" s="279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</row>
    <row r="182" spans="1:34" ht="16.5" hidden="1" thickBot="1">
      <c r="A182" s="60"/>
      <c r="B182" s="216"/>
      <c r="C182" s="277"/>
      <c r="D182" s="277"/>
      <c r="E182" s="280"/>
      <c r="F182" s="253"/>
      <c r="G182" s="264"/>
      <c r="H182" s="280"/>
      <c r="I182" s="253"/>
      <c r="J182" s="264"/>
      <c r="K182" s="280"/>
      <c r="L182" s="253"/>
      <c r="M182" s="264"/>
      <c r="N182" s="280"/>
      <c r="O182" s="253"/>
      <c r="P182" s="264"/>
      <c r="Q182" s="260"/>
      <c r="R182" s="60"/>
      <c r="S182" s="60"/>
      <c r="T182" s="2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</row>
    <row r="183" spans="1:34" ht="16.5" hidden="1" thickBot="1">
      <c r="A183" s="60"/>
      <c r="B183" s="216"/>
      <c r="C183" s="277"/>
      <c r="D183" s="277"/>
      <c r="E183" s="217" t="s">
        <v>98</v>
      </c>
      <c r="F183" s="217"/>
      <c r="G183" s="264"/>
      <c r="H183" s="217" t="s">
        <v>98</v>
      </c>
      <c r="I183" s="217"/>
      <c r="J183" s="264"/>
      <c r="K183" s="217" t="s">
        <v>98</v>
      </c>
      <c r="L183" s="217"/>
      <c r="M183" s="264"/>
      <c r="N183" s="217" t="s">
        <v>98</v>
      </c>
      <c r="O183" s="217"/>
      <c r="P183" s="264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</row>
    <row r="184" spans="1:34" ht="16.5" hidden="1" thickBot="1">
      <c r="A184" s="60"/>
      <c r="B184" s="216"/>
      <c r="C184" s="277"/>
      <c r="D184" s="277"/>
      <c r="E184" s="253">
        <f>E151+E152+E153+E154+E155+E156+E157+E160+E161+E162+F173+E164+( (E151+E152+E153+E154+E155+E156+E157+E160+E161+E162+E173+E164)*0.07)</f>
        <v>129675.40715527999</v>
      </c>
      <c r="F184" s="217" t="s">
        <v>99</v>
      </c>
      <c r="G184" s="264"/>
      <c r="H184" s="253">
        <f>H151+H152+H153+H154+H155+H156+H157+H160+H161+H162+I173+H164+( (H151+H152+H153+H154+H155+H156+H157+H160+H161+H162+H173+H164)*0.07)</f>
        <v>117634.11934800398</v>
      </c>
      <c r="I184" s="217" t="s">
        <v>99</v>
      </c>
      <c r="J184" s="264"/>
      <c r="K184" s="253">
        <f>K151+K152+K153+K154+K155+K156+K157+K160+K161+K162+L173+K164+( (K151+K152+K153+K154+K155+K156+K157+K160+K161+K162+K173+K164)*0.07)</f>
        <v>100035.31409121602</v>
      </c>
      <c r="L184" s="217" t="s">
        <v>99</v>
      </c>
      <c r="M184" s="264"/>
      <c r="N184" s="253">
        <f>N151+N152+N153+N154+N155+N156+N157+N160+N161+N162+O173+N164+( (N151+N152+N153+N154+N155+N156+N157+N160+N161+N162+N173+N164)*0.07)</f>
        <v>92625.290825200005</v>
      </c>
      <c r="O184" s="217" t="s">
        <v>99</v>
      </c>
      <c r="P184" s="264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</row>
    <row r="185" spans="1:34" ht="16.5" hidden="1" thickBot="1">
      <c r="A185" s="60"/>
      <c r="B185" s="216"/>
      <c r="C185" s="277"/>
      <c r="D185" s="277"/>
      <c r="E185" s="46">
        <f>totalremocatavoaumFonidene23*1.07</f>
        <v>99109.061182964011</v>
      </c>
      <c r="F185" s="217" t="s">
        <v>100</v>
      </c>
      <c r="G185" s="264"/>
      <c r="H185" s="46">
        <f>totalremocatavoaumFonidene23*1.07</f>
        <v>99109.061182964011</v>
      </c>
      <c r="I185" s="217" t="s">
        <v>100</v>
      </c>
      <c r="J185" s="264"/>
      <c r="K185" s="46">
        <f>totalremocatavoaumFonidene23*1.07</f>
        <v>99109.061182964011</v>
      </c>
      <c r="L185" s="217" t="s">
        <v>100</v>
      </c>
      <c r="M185" s="264"/>
      <c r="N185" s="46">
        <f>totalremocatavoaumFonidene23*1.07</f>
        <v>99109.061182964011</v>
      </c>
      <c r="O185" s="217" t="s">
        <v>100</v>
      </c>
      <c r="P185" s="264"/>
      <c r="Q185" s="260"/>
      <c r="R185" s="60"/>
      <c r="S185" s="60"/>
      <c r="T185" s="2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</row>
    <row r="186" spans="1:34" ht="18.75" hidden="1" thickBot="1">
      <c r="A186" s="60"/>
      <c r="B186" s="216"/>
      <c r="C186" s="277"/>
      <c r="D186" s="277"/>
      <c r="E186" s="715" t="s">
        <v>101</v>
      </c>
      <c r="F186" s="281">
        <f>F181-I181</f>
        <v>11781.999999999971</v>
      </c>
      <c r="G186" s="264"/>
      <c r="H186" s="715" t="s">
        <v>101</v>
      </c>
      <c r="I186" s="281">
        <f>I181-L181</f>
        <v>20306.000000000044</v>
      </c>
      <c r="J186" s="264"/>
      <c r="K186" s="715" t="s">
        <v>101</v>
      </c>
      <c r="L186" s="281">
        <f>L181-O181</f>
        <v>7250.0000000000146</v>
      </c>
      <c r="M186" s="264"/>
      <c r="N186" s="715" t="s">
        <v>101</v>
      </c>
      <c r="O186" s="281"/>
      <c r="P186" s="264"/>
      <c r="Q186" s="282"/>
      <c r="R186" s="283"/>
      <c r="S186" s="60"/>
      <c r="T186" s="282"/>
      <c r="U186" s="283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</row>
    <row r="187" spans="1:34" ht="18.75" hidden="1" thickBot="1">
      <c r="A187" s="60"/>
      <c r="B187" s="217"/>
      <c r="C187" s="217"/>
      <c r="D187" s="217"/>
      <c r="E187" s="715" t="s">
        <v>102</v>
      </c>
      <c r="F187" s="509">
        <f>F186/I181</f>
        <v>9.0431125131440346E-2</v>
      </c>
      <c r="G187" s="238"/>
      <c r="H187" s="715" t="s">
        <v>102</v>
      </c>
      <c r="I187" s="509">
        <f>I186/L181</f>
        <v>0.18463189096298493</v>
      </c>
      <c r="J187" s="238"/>
      <c r="K187" s="715" t="s">
        <v>102</v>
      </c>
      <c r="L187" s="509">
        <f>L186/O181</f>
        <v>7.0572660637977014E-2</v>
      </c>
      <c r="M187" s="238"/>
      <c r="N187" s="715" t="s">
        <v>102</v>
      </c>
      <c r="O187" s="509"/>
      <c r="P187" s="238"/>
      <c r="Q187" s="282"/>
      <c r="R187" s="284"/>
      <c r="S187" s="72"/>
      <c r="T187" s="282"/>
      <c r="U187" s="284"/>
      <c r="V187" s="72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</row>
    <row r="188" spans="1:34" ht="16.5" hidden="1" thickBot="1">
      <c r="A188" s="60"/>
      <c r="B188" s="216"/>
      <c r="C188" s="277"/>
      <c r="D188" s="277"/>
      <c r="E188" s="217"/>
      <c r="F188" s="217"/>
      <c r="G188" s="264"/>
      <c r="H188" s="217"/>
      <c r="I188" s="217"/>
      <c r="J188" s="264"/>
      <c r="K188" s="217"/>
      <c r="L188" s="217"/>
      <c r="M188" s="264"/>
      <c r="N188" s="217"/>
      <c r="O188" s="217"/>
      <c r="P188" s="264"/>
      <c r="Q188" s="60"/>
      <c r="R188" s="60"/>
      <c r="S188" s="260"/>
      <c r="T188" s="60"/>
      <c r="U188" s="60"/>
      <c r="V188" s="2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</row>
    <row r="189" spans="1:34" ht="18.75" hidden="1" thickBot="1">
      <c r="A189" s="60"/>
      <c r="B189" s="216"/>
      <c r="C189" s="277"/>
      <c r="D189" s="277"/>
      <c r="E189" s="716" t="s">
        <v>485</v>
      </c>
      <c r="F189" s="286">
        <f>F181-$O181</f>
        <v>39338.000000000029</v>
      </c>
      <c r="G189" s="264"/>
      <c r="H189" s="716" t="s">
        <v>485</v>
      </c>
      <c r="I189" s="286">
        <f>I181-$O181</f>
        <v>27556.000000000058</v>
      </c>
      <c r="J189" s="264"/>
      <c r="K189" s="716" t="s">
        <v>485</v>
      </c>
      <c r="L189" s="286">
        <f>L181-$O181</f>
        <v>7250.0000000000146</v>
      </c>
      <c r="M189" s="264"/>
      <c r="N189" s="716" t="s">
        <v>485</v>
      </c>
      <c r="O189" s="286"/>
      <c r="P189" s="264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</row>
    <row r="190" spans="1:34" ht="18.75" hidden="1" thickBot="1">
      <c r="A190" s="60"/>
      <c r="B190" s="216"/>
      <c r="C190" s="277"/>
      <c r="D190" s="277"/>
      <c r="E190" s="716" t="s">
        <v>486</v>
      </c>
      <c r="F190" s="508">
        <f>F189/$O181</f>
        <v>0.38292238954161878</v>
      </c>
      <c r="G190" s="264"/>
      <c r="H190" s="716" t="s">
        <v>486</v>
      </c>
      <c r="I190" s="508">
        <f>I189/$O181</f>
        <v>0.26823451538484067</v>
      </c>
      <c r="J190" s="264"/>
      <c r="K190" s="716" t="s">
        <v>486</v>
      </c>
      <c r="L190" s="508">
        <f>L189/$O181</f>
        <v>7.0572660637977014E-2</v>
      </c>
      <c r="M190" s="264"/>
      <c r="N190" s="716" t="s">
        <v>486</v>
      </c>
      <c r="O190" s="508"/>
      <c r="P190" s="264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</row>
    <row r="191" spans="1:34" ht="16.5" hidden="1" thickBot="1">
      <c r="A191" s="60"/>
      <c r="B191" s="216"/>
      <c r="C191" s="277"/>
      <c r="D191" s="277"/>
      <c r="E191" s="217"/>
      <c r="F191" s="217"/>
      <c r="G191" s="264"/>
      <c r="H191" s="217"/>
      <c r="I191" s="217"/>
      <c r="J191" s="264"/>
      <c r="K191" s="217"/>
      <c r="L191" s="217"/>
      <c r="M191" s="264"/>
      <c r="N191" s="217"/>
      <c r="O191" s="217"/>
      <c r="P191" s="264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</row>
    <row r="192" spans="1:34" ht="18.75" hidden="1" thickBot="1">
      <c r="A192" s="60"/>
      <c r="B192" s="216"/>
      <c r="C192" s="277"/>
      <c r="D192" s="277"/>
      <c r="E192" s="202" t="s">
        <v>503</v>
      </c>
      <c r="F192" s="286">
        <f>(F181-E168-E170-E171)-($O181-$N168-$N170-$N171)</f>
        <v>36252.000000000029</v>
      </c>
      <c r="G192" s="264"/>
      <c r="H192" s="202" t="s">
        <v>503</v>
      </c>
      <c r="I192" s="286">
        <f>(I181-H168-H170-H171)-($O181-$N168-$N170-$N171)</f>
        <v>24470.000000000058</v>
      </c>
      <c r="J192" s="264"/>
      <c r="K192" s="202" t="s">
        <v>503</v>
      </c>
      <c r="L192" s="286">
        <f>(L181-K168-K170-K171)-($O181-$N168-$N170-$N171)</f>
        <v>7250.0000000000146</v>
      </c>
      <c r="M192" s="264"/>
      <c r="N192" s="202" t="s">
        <v>503</v>
      </c>
      <c r="O192" s="286"/>
      <c r="P192" s="264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</row>
    <row r="193" spans="1:34" ht="18.75" hidden="1" thickBot="1">
      <c r="A193" s="60"/>
      <c r="B193" s="216"/>
      <c r="C193" s="277"/>
      <c r="D193" s="277"/>
      <c r="E193" s="203" t="s">
        <v>504</v>
      </c>
      <c r="F193" s="508">
        <f>F192/($O181-$N168-$N170-$N171)</f>
        <v>0.39999558649910122</v>
      </c>
      <c r="G193" s="264"/>
      <c r="H193" s="203" t="s">
        <v>504</v>
      </c>
      <c r="I193" s="508">
        <f>I192/($O181-$N168-$N170-$N171)</f>
        <v>0.2699959175116689</v>
      </c>
      <c r="J193" s="264"/>
      <c r="K193" s="203" t="s">
        <v>504</v>
      </c>
      <c r="L193" s="508">
        <f>L192/($O181-$N168-$N170-$N171)</f>
        <v>7.9994703798921082E-2</v>
      </c>
      <c r="M193" s="264"/>
      <c r="N193" s="203" t="s">
        <v>504</v>
      </c>
      <c r="O193" s="508"/>
      <c r="P193" s="264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</row>
    <row r="194" spans="1:34" ht="16.5" hidden="1" thickBot="1">
      <c r="A194" s="60"/>
      <c r="B194" s="216"/>
      <c r="C194" s="277"/>
      <c r="D194" s="277"/>
      <c r="E194" s="217"/>
      <c r="F194" s="217"/>
      <c r="G194" s="264"/>
      <c r="H194" s="217"/>
      <c r="I194" s="217"/>
      <c r="J194" s="264"/>
      <c r="K194" s="217"/>
      <c r="L194" s="217"/>
      <c r="M194" s="264"/>
      <c r="N194" s="217"/>
      <c r="O194" s="217"/>
      <c r="P194" s="264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</row>
    <row r="195" spans="1:34" ht="16.5" hidden="1" thickBot="1">
      <c r="A195" s="60"/>
      <c r="B195" s="216"/>
      <c r="C195" s="277"/>
      <c r="D195" s="277"/>
      <c r="E195" s="277" t="s">
        <v>103</v>
      </c>
      <c r="F195" s="280"/>
      <c r="G195" s="264"/>
      <c r="H195" s="277" t="s">
        <v>103</v>
      </c>
      <c r="I195" s="280"/>
      <c r="J195" s="264"/>
      <c r="K195" s="277" t="s">
        <v>103</v>
      </c>
      <c r="L195" s="280"/>
      <c r="M195" s="264"/>
      <c r="N195" s="277" t="s">
        <v>103</v>
      </c>
      <c r="O195" s="280"/>
      <c r="P195" s="264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</row>
    <row r="196" spans="1:34" ht="16.5" hidden="1" thickBot="1">
      <c r="A196" s="60"/>
      <c r="B196" s="216"/>
      <c r="C196" s="277"/>
      <c r="D196" s="277"/>
      <c r="E196" s="215" t="s">
        <v>104</v>
      </c>
      <c r="F196" s="287">
        <f>(E151+E152+E153+E154+E155+E156+E157+E158+E159+E160+E161+E162+E163+E164)*0.5</f>
        <v>78322.839506172837</v>
      </c>
      <c r="G196" s="264"/>
      <c r="H196" s="215" t="s">
        <v>104</v>
      </c>
      <c r="I196" s="287">
        <f>(H151+H152+H153+H154+H155+H156+H157+H158+H159+H160+H161+H162+H163+H164)*0.5</f>
        <v>71050.000000000015</v>
      </c>
      <c r="J196" s="264"/>
      <c r="K196" s="215" t="s">
        <v>104</v>
      </c>
      <c r="L196" s="287">
        <f>(K151+K152+K153+K154+K155+K156+K157+K158+K159+K160+K161+K162+K163+K164)*0.5</f>
        <v>60420.370370370358</v>
      </c>
      <c r="M196" s="264"/>
      <c r="N196" s="215" t="s">
        <v>104</v>
      </c>
      <c r="O196" s="287">
        <f>(N151+N152+N153+N154+N155+N156+N157+N158+N159+N160+N161+N162+N163+N164)*0.5</f>
        <v>55945.061728395049</v>
      </c>
      <c r="P196" s="264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</row>
    <row r="197" spans="1:34" ht="16.5" hidden="1" thickBot="1">
      <c r="A197" s="60"/>
      <c r="B197" s="216"/>
      <c r="C197" s="277"/>
      <c r="D197" s="277"/>
      <c r="E197" s="215" t="s">
        <v>105</v>
      </c>
      <c r="F197" s="288"/>
      <c r="G197" s="264"/>
      <c r="H197" s="215" t="s">
        <v>105</v>
      </c>
      <c r="I197" s="288"/>
      <c r="J197" s="264"/>
      <c r="K197" s="215" t="s">
        <v>105</v>
      </c>
      <c r="L197" s="288"/>
      <c r="M197" s="264"/>
      <c r="N197" s="215" t="s">
        <v>105</v>
      </c>
      <c r="O197" s="288"/>
      <c r="P197" s="264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</row>
    <row r="198" spans="1:34" ht="16.5" hidden="1" thickBot="1">
      <c r="A198" s="60"/>
      <c r="B198" s="216"/>
      <c r="C198" s="277"/>
      <c r="D198" s="277"/>
      <c r="E198" s="217" t="s">
        <v>106</v>
      </c>
      <c r="F198" s="217">
        <f>F196*0.804</f>
        <v>62971.562962962962</v>
      </c>
      <c r="G198" s="264"/>
      <c r="H198" s="217" t="s">
        <v>106</v>
      </c>
      <c r="I198" s="217">
        <f>I196*0.804</f>
        <v>57124.200000000012</v>
      </c>
      <c r="J198" s="264"/>
      <c r="K198" s="217" t="s">
        <v>106</v>
      </c>
      <c r="L198" s="217">
        <f>L196*0.804</f>
        <v>48577.977777777771</v>
      </c>
      <c r="M198" s="264"/>
      <c r="N198" s="217" t="s">
        <v>106</v>
      </c>
      <c r="O198" s="217">
        <f>O196*0.804</f>
        <v>44979.829629629625</v>
      </c>
      <c r="P198" s="264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</row>
    <row r="199" spans="1:34" ht="16.5" hidden="1" thickBot="1">
      <c r="A199" s="60"/>
      <c r="B199" s="216"/>
      <c r="C199" s="277"/>
      <c r="D199" s="277"/>
      <c r="E199" s="215" t="s">
        <v>107</v>
      </c>
      <c r="F199" s="289"/>
      <c r="G199" s="264"/>
      <c r="H199" s="215" t="s">
        <v>107</v>
      </c>
      <c r="I199" s="289"/>
      <c r="J199" s="264"/>
      <c r="K199" s="215" t="s">
        <v>107</v>
      </c>
      <c r="L199" s="289"/>
      <c r="M199" s="264"/>
      <c r="N199" s="215" t="s">
        <v>107</v>
      </c>
      <c r="O199" s="289"/>
      <c r="P199" s="264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</row>
    <row r="200" spans="1:34" ht="16.5" hidden="1" thickBot="1">
      <c r="A200" s="60"/>
      <c r="B200" s="216"/>
      <c r="C200" s="277"/>
      <c r="D200" s="277"/>
      <c r="E200" s="290">
        <v>502</v>
      </c>
      <c r="F200" s="291">
        <f>-(totalremmay23+F196+E163*1.07)*0.16</f>
        <v>-37594.962962962956</v>
      </c>
      <c r="G200" s="264"/>
      <c r="H200" s="290">
        <v>502</v>
      </c>
      <c r="I200" s="291">
        <f>-(totalremmar23+I196+H163*1.07)*0.16</f>
        <v>-34104</v>
      </c>
      <c r="J200" s="264"/>
      <c r="K200" s="290">
        <v>502</v>
      </c>
      <c r="L200" s="291">
        <f>-(totalremfeb23+L196+K163*1.07)*0.16</f>
        <v>-29001.777777777777</v>
      </c>
      <c r="M200" s="264"/>
      <c r="N200" s="290">
        <v>502</v>
      </c>
      <c r="O200" s="291">
        <f>-(totalremocatavoaumFonidene23+O196+N163*1.07)*0.16</f>
        <v>-26853.629629629628</v>
      </c>
      <c r="P200" s="264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</row>
    <row r="201" spans="1:34" ht="16.5" hidden="1" thickBot="1">
      <c r="A201" s="60"/>
      <c r="B201" s="216"/>
      <c r="C201" s="277"/>
      <c r="D201" s="277"/>
      <c r="E201" s="290">
        <v>505</v>
      </c>
      <c r="F201" s="291">
        <f>-(totalremmay23+F196+E163*1.07)*0.03</f>
        <v>-7049.0555555555538</v>
      </c>
      <c r="G201" s="264"/>
      <c r="H201" s="290">
        <v>505</v>
      </c>
      <c r="I201" s="291">
        <f>-(totalremmar23+I196+H163*1.07)*0.03</f>
        <v>-6394.5</v>
      </c>
      <c r="J201" s="264"/>
      <c r="K201" s="290">
        <v>505</v>
      </c>
      <c r="L201" s="291">
        <f>-(totalremfeb23+L196+K163*1.07)*0.03</f>
        <v>-5437.833333333333</v>
      </c>
      <c r="M201" s="264"/>
      <c r="N201" s="290">
        <v>505</v>
      </c>
      <c r="O201" s="291">
        <f>-(totalremocatavoaumFonidene23+O196+N163*1.07)*0.03</f>
        <v>-5035.0555555555547</v>
      </c>
      <c r="P201" s="264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</row>
    <row r="202" spans="1:34" ht="16.5" hidden="1" thickBot="1">
      <c r="A202" s="60"/>
      <c r="B202" s="216"/>
      <c r="C202" s="277"/>
      <c r="D202" s="277"/>
      <c r="E202" s="292"/>
      <c r="F202" s="292"/>
      <c r="G202" s="264"/>
      <c r="H202" s="292"/>
      <c r="I202" s="292"/>
      <c r="J202" s="264"/>
      <c r="K202" s="292"/>
      <c r="L202" s="292"/>
      <c r="M202" s="264"/>
      <c r="N202" s="292"/>
      <c r="O202" s="292"/>
      <c r="P202" s="264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</row>
    <row r="203" spans="1:34" ht="18.75" hidden="1" thickBot="1">
      <c r="A203" s="60"/>
      <c r="B203" s="216"/>
      <c r="C203" s="277"/>
      <c r="D203" s="277"/>
      <c r="E203" s="293" t="s">
        <v>108</v>
      </c>
      <c r="F203" s="289"/>
      <c r="G203" s="264"/>
      <c r="H203" s="293" t="s">
        <v>108</v>
      </c>
      <c r="I203" s="289"/>
      <c r="J203" s="264"/>
      <c r="K203" s="293" t="s">
        <v>108</v>
      </c>
      <c r="L203" s="289"/>
      <c r="M203" s="264"/>
      <c r="N203" s="293" t="s">
        <v>108</v>
      </c>
      <c r="O203" s="289"/>
      <c r="P203" s="264"/>
      <c r="Q203" s="60"/>
      <c r="R203" s="294"/>
      <c r="S203" s="60"/>
      <c r="T203" s="60"/>
      <c r="U203" s="294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</row>
    <row r="204" spans="1:34" ht="18.75" hidden="1" thickBot="1">
      <c r="A204" s="60"/>
      <c r="B204" s="216"/>
      <c r="C204" s="277"/>
      <c r="D204" s="277"/>
      <c r="E204" s="293"/>
      <c r="F204" s="295">
        <f>E172+F196+F197+F200+F201</f>
        <v>205510.5</v>
      </c>
      <c r="G204" s="264"/>
      <c r="H204" s="293"/>
      <c r="I204" s="295">
        <f>H172+I196+I197+I200+I201</f>
        <v>187837.50000000006</v>
      </c>
      <c r="J204" s="264"/>
      <c r="K204" s="293"/>
      <c r="L204" s="295">
        <f>K172+L196+L197+L200+L201</f>
        <v>158921.49999999997</v>
      </c>
      <c r="M204" s="264"/>
      <c r="N204" s="293"/>
      <c r="O204" s="295">
        <f>N172+O196+O197+O200+O201</f>
        <v>148046.49999999994</v>
      </c>
      <c r="P204" s="264"/>
      <c r="Q204" s="60"/>
      <c r="R204" s="294"/>
      <c r="S204" s="60"/>
      <c r="T204" s="60"/>
      <c r="U204" s="294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</row>
    <row r="205" spans="1:34" ht="18.75" hidden="1" thickBot="1">
      <c r="A205" s="60"/>
      <c r="B205" s="216"/>
      <c r="C205" s="277"/>
      <c r="D205" s="277"/>
      <c r="E205" s="296" t="s">
        <v>109</v>
      </c>
      <c r="F205" s="297"/>
      <c r="G205" s="264"/>
      <c r="H205" s="296" t="s">
        <v>109</v>
      </c>
      <c r="I205" s="297"/>
      <c r="J205" s="264"/>
      <c r="K205" s="296" t="s">
        <v>109</v>
      </c>
      <c r="L205" s="297"/>
      <c r="M205" s="264"/>
      <c r="N205" s="296" t="s">
        <v>109</v>
      </c>
      <c r="O205" s="297"/>
      <c r="P205" s="264"/>
      <c r="Q205" s="60"/>
      <c r="R205" s="294"/>
      <c r="S205" s="60"/>
      <c r="T205" s="60"/>
      <c r="U205" s="294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</row>
    <row r="206" spans="1:34" ht="16.5" hidden="1" thickBot="1">
      <c r="A206" s="60"/>
      <c r="B206" s="216"/>
      <c r="C206" s="277"/>
      <c r="D206" s="277"/>
      <c r="E206" s="217"/>
      <c r="F206" s="298">
        <f>F204-F181+F177</f>
        <v>63441.5</v>
      </c>
      <c r="G206" s="264"/>
      <c r="H206" s="217"/>
      <c r="I206" s="298">
        <f>I204-I181+I177</f>
        <v>57550.500000000029</v>
      </c>
      <c r="J206" s="264"/>
      <c r="K206" s="217"/>
      <c r="L206" s="298">
        <f>L204-L181+L177</f>
        <v>48940.499999999985</v>
      </c>
      <c r="M206" s="264"/>
      <c r="N206" s="217"/>
      <c r="O206" s="298">
        <f>O204-O181+O177</f>
        <v>45315.499999999971</v>
      </c>
      <c r="P206" s="264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</row>
    <row r="207" spans="1:34" ht="27" hidden="1" thickBot="1">
      <c r="A207" s="60"/>
      <c r="B207" s="217"/>
      <c r="C207" s="217"/>
      <c r="D207" s="217"/>
      <c r="E207" s="40">
        <v>45047</v>
      </c>
      <c r="F207" s="693" t="s">
        <v>511</v>
      </c>
      <c r="G207" s="617"/>
      <c r="H207" s="40">
        <v>44986</v>
      </c>
      <c r="I207" s="693" t="s">
        <v>510</v>
      </c>
      <c r="J207" s="617"/>
      <c r="K207" s="40">
        <v>44958</v>
      </c>
      <c r="L207" s="744">
        <v>0.08</v>
      </c>
      <c r="M207" s="175"/>
      <c r="N207" s="40">
        <v>44896</v>
      </c>
      <c r="O207" s="693"/>
      <c r="P207" s="617"/>
      <c r="Q207" s="300"/>
      <c r="R207" s="300"/>
      <c r="S207" s="301"/>
      <c r="T207" s="302"/>
      <c r="U207" s="301"/>
      <c r="V207" s="301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</row>
    <row r="208" spans="1:34" ht="14.25" thickTop="1" thickBot="1">
      <c r="A208" s="153"/>
      <c r="B208" s="30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60"/>
      <c r="R208" s="60"/>
      <c r="S208" s="60"/>
      <c r="T208" s="60"/>
      <c r="U208" s="60"/>
      <c r="V208" s="60"/>
      <c r="W208" s="153"/>
      <c r="X208" s="153"/>
      <c r="Y208" s="153"/>
      <c r="Z208" s="153"/>
      <c r="AA208" s="153"/>
      <c r="AB208" s="153"/>
      <c r="AC208" s="153"/>
      <c r="AD208" s="153"/>
      <c r="AE208" s="153"/>
      <c r="AF208" s="153"/>
      <c r="AG208" s="153"/>
      <c r="AH208" s="153"/>
    </row>
    <row r="209" spans="1:34" ht="15">
      <c r="A209" s="60"/>
      <c r="B209" s="60"/>
      <c r="C209" s="60"/>
      <c r="D209" s="60"/>
      <c r="E209" s="60"/>
      <c r="F209" s="666"/>
      <c r="G209" s="738" t="str">
        <f>canthormed&amp;" horas med"</f>
        <v>36 horas med</v>
      </c>
      <c r="H209" s="746">
        <f>porantighormed</f>
        <v>1.2</v>
      </c>
      <c r="I209" s="666" t="str">
        <f>A208&amp;""</f>
        <v/>
      </c>
      <c r="J209" s="732"/>
      <c r="K209" s="733"/>
      <c r="L209" s="697"/>
      <c r="M209" s="698"/>
      <c r="N209" s="60"/>
      <c r="O209" s="697"/>
      <c r="P209" s="698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</row>
    <row r="210" spans="1:34" s="724" customFormat="1" ht="15">
      <c r="A210" s="60"/>
      <c r="B210" s="60"/>
      <c r="C210" s="60"/>
      <c r="D210" s="60"/>
      <c r="E210" s="60"/>
      <c r="F210" s="660">
        <v>44927</v>
      </c>
      <c r="G210" s="661">
        <v>44958</v>
      </c>
      <c r="H210" s="661">
        <v>44986</v>
      </c>
      <c r="I210" s="660">
        <v>45047</v>
      </c>
      <c r="J210" s="732"/>
      <c r="K210" s="733"/>
      <c r="L210" s="697"/>
      <c r="M210" s="698"/>
      <c r="N210" s="60"/>
      <c r="O210" s="697"/>
      <c r="P210" s="698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</row>
    <row r="211" spans="1:34" ht="18">
      <c r="A211" s="60"/>
      <c r="B211" s="60"/>
      <c r="C211" s="304" t="s">
        <v>110</v>
      </c>
      <c r="E211" s="708"/>
      <c r="F211" s="662">
        <f>N216</f>
        <v>241017.20972795456</v>
      </c>
      <c r="G211" s="663">
        <f>K216</f>
        <v>258362.58650619088</v>
      </c>
      <c r="H211" s="663">
        <f>H216</f>
        <v>305729.85635450232</v>
      </c>
      <c r="I211" s="662">
        <f>E216</f>
        <v>333916.09361913631</v>
      </c>
      <c r="J211" s="734"/>
      <c r="K211" s="694"/>
      <c r="L211" s="694"/>
      <c r="M211" s="694"/>
      <c r="N211" s="691"/>
      <c r="O211" s="694"/>
      <c r="P211" s="694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</row>
    <row r="212" spans="1:34" ht="12.75">
      <c r="A212" s="60"/>
      <c r="B212" s="60"/>
      <c r="C212" s="60"/>
      <c r="D212" s="60"/>
      <c r="E212" s="60"/>
      <c r="F212" s="667" t="s">
        <v>485</v>
      </c>
      <c r="G212" s="664">
        <f>G211-$F211</f>
        <v>17345.376778236328</v>
      </c>
      <c r="H212" s="664">
        <f>H211-$F211</f>
        <v>64712.646626547765</v>
      </c>
      <c r="I212" s="664">
        <f>I211-$F211</f>
        <v>92898.883891181758</v>
      </c>
      <c r="J212" s="735"/>
      <c r="K212" s="695"/>
      <c r="L212" s="695"/>
      <c r="M212" s="695"/>
      <c r="N212" s="60"/>
      <c r="O212" s="695"/>
      <c r="P212" s="695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</row>
    <row r="213" spans="1:34">
      <c r="A213" s="60"/>
      <c r="B213" s="772" t="s">
        <v>111</v>
      </c>
      <c r="C213" s="763"/>
      <c r="D213" s="480">
        <v>36</v>
      </c>
      <c r="E213" s="306"/>
      <c r="F213" s="752" t="s">
        <v>489</v>
      </c>
      <c r="G213" s="748">
        <f>G212/$F211</f>
        <v>7.1967378586013528E-2</v>
      </c>
      <c r="H213" s="748">
        <f>H212/$F211</f>
        <v>0.2684980325661866</v>
      </c>
      <c r="I213" s="748">
        <f>I212/$F211</f>
        <v>0.38544502276845838</v>
      </c>
      <c r="J213" s="736"/>
      <c r="K213" s="696"/>
      <c r="L213" s="695"/>
      <c r="M213" s="696"/>
      <c r="N213" s="306"/>
      <c r="O213" s="695"/>
      <c r="P213" s="696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8"/>
      <c r="AH213" s="60"/>
    </row>
    <row r="214" spans="1:34" ht="16.5" thickBot="1">
      <c r="A214" s="60"/>
      <c r="B214" s="772" t="s">
        <v>112</v>
      </c>
      <c r="C214" s="763"/>
      <c r="D214" s="481">
        <v>24</v>
      </c>
      <c r="E214" s="60" t="s">
        <v>491</v>
      </c>
      <c r="F214" s="751" t="s">
        <v>512</v>
      </c>
      <c r="G214" s="753">
        <f>L260</f>
        <v>7.9999999999999835E-2</v>
      </c>
      <c r="H214" s="753">
        <f>I260</f>
        <v>0.27000000000000018</v>
      </c>
      <c r="I214" s="753">
        <f>F260</f>
        <v>0.39999999999999969</v>
      </c>
      <c r="J214" s="737"/>
      <c r="K214" s="699"/>
      <c r="L214" s="625"/>
      <c r="M214" s="699"/>
      <c r="N214" s="60" t="s">
        <v>491</v>
      </c>
      <c r="O214" s="625"/>
      <c r="P214" s="699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8"/>
      <c r="AH214" s="60"/>
    </row>
    <row r="215" spans="1:34" ht="16.5" thickTop="1">
      <c r="A215" s="60"/>
      <c r="B215" s="60"/>
      <c r="C215" s="60"/>
      <c r="D215" s="484">
        <f>LOOKUP(D214,D17:D28,E17:E28)</f>
        <v>1.2</v>
      </c>
      <c r="E215" s="171" t="s">
        <v>58</v>
      </c>
      <c r="F215" s="484"/>
      <c r="G215" s="484"/>
      <c r="H215" s="171" t="s">
        <v>58</v>
      </c>
      <c r="I215" s="484"/>
      <c r="J215" s="484"/>
      <c r="K215" s="731" t="s">
        <v>58</v>
      </c>
      <c r="L215" s="484"/>
      <c r="M215" s="484"/>
      <c r="N215" s="171" t="s">
        <v>58</v>
      </c>
      <c r="O215" s="484"/>
      <c r="P215" s="484"/>
      <c r="Q215" s="75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</row>
    <row r="216" spans="1:34" ht="27" thickBot="1">
      <c r="A216" s="60"/>
      <c r="B216" s="307" t="s">
        <v>113</v>
      </c>
      <c r="C216" s="308"/>
      <c r="D216" s="482"/>
      <c r="E216" s="533">
        <f>F308</f>
        <v>333916.09361913631</v>
      </c>
      <c r="F216" s="687"/>
      <c r="G216" s="687"/>
      <c r="H216" s="533">
        <f>I308</f>
        <v>305729.85635450232</v>
      </c>
      <c r="I216" s="687"/>
      <c r="J216" s="687"/>
      <c r="K216" s="533">
        <f>L308</f>
        <v>258362.58650619088</v>
      </c>
      <c r="L216" s="687"/>
      <c r="M216" s="687"/>
      <c r="N216" s="533">
        <f>O308</f>
        <v>241017.20972795456</v>
      </c>
      <c r="O216" s="687"/>
      <c r="P216" s="687"/>
      <c r="Q216" s="309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310"/>
      <c r="AH216" s="311"/>
    </row>
    <row r="217" spans="1:34" ht="16.5" thickTop="1">
      <c r="A217" s="60"/>
      <c r="B217" s="769" t="s">
        <v>114</v>
      </c>
      <c r="C217" s="770"/>
      <c r="D217" s="483">
        <v>36</v>
      </c>
      <c r="E217" s="688"/>
      <c r="F217" s="688"/>
      <c r="G217" s="688"/>
      <c r="H217" s="688"/>
      <c r="I217" s="688"/>
      <c r="J217" s="688"/>
      <c r="K217" s="688"/>
      <c r="L217" s="688"/>
      <c r="M217" s="688"/>
      <c r="N217" s="688"/>
      <c r="O217" s="688"/>
      <c r="P217" s="688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8"/>
      <c r="AH217" s="60"/>
    </row>
    <row r="218" spans="1:34">
      <c r="A218" s="60"/>
      <c r="B218" s="769" t="s">
        <v>115</v>
      </c>
      <c r="C218" s="770"/>
      <c r="D218" s="483">
        <v>36</v>
      </c>
      <c r="E218" s="688"/>
      <c r="F218" s="688"/>
      <c r="G218" s="688"/>
      <c r="H218" s="688"/>
      <c r="I218" s="688"/>
      <c r="J218" s="688"/>
      <c r="K218" s="688"/>
      <c r="L218" s="688"/>
      <c r="M218" s="688"/>
      <c r="N218" s="688"/>
      <c r="O218" s="688"/>
      <c r="P218" s="688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8"/>
      <c r="AH218" s="60"/>
    </row>
    <row r="219" spans="1:34">
      <c r="A219" s="60"/>
      <c r="B219" s="771" t="s">
        <v>116</v>
      </c>
      <c r="C219" s="759"/>
      <c r="D219" s="483">
        <v>1</v>
      </c>
      <c r="E219" s="688"/>
      <c r="F219" s="688"/>
      <c r="G219" s="688"/>
      <c r="H219" s="688"/>
      <c r="I219" s="688"/>
      <c r="J219" s="688"/>
      <c r="K219" s="688"/>
      <c r="L219" s="688"/>
      <c r="M219" s="688"/>
      <c r="N219" s="688"/>
      <c r="O219" s="688"/>
      <c r="P219" s="688"/>
      <c r="Q219" s="60"/>
      <c r="R219" s="60"/>
      <c r="S219" s="60"/>
      <c r="T219" s="60"/>
      <c r="U219" s="60"/>
      <c r="V219" s="60"/>
      <c r="W219" s="60"/>
      <c r="X219" s="60"/>
      <c r="Y219" s="68"/>
      <c r="Z219" s="60"/>
      <c r="AA219" s="60"/>
      <c r="AB219" s="60"/>
      <c r="AC219" s="60"/>
      <c r="AD219" s="60"/>
      <c r="AE219" s="60"/>
      <c r="AF219" s="60"/>
      <c r="AG219" s="60"/>
      <c r="AH219" s="60"/>
    </row>
    <row r="220" spans="1:34">
      <c r="A220" s="60"/>
      <c r="B220" s="97" t="s">
        <v>490</v>
      </c>
      <c r="D220" s="562">
        <v>15</v>
      </c>
      <c r="E220" s="562"/>
      <c r="F220" s="562"/>
      <c r="G220" s="562"/>
      <c r="H220" s="562"/>
      <c r="I220" s="562"/>
      <c r="J220" s="562"/>
      <c r="K220" s="562"/>
      <c r="L220" s="562"/>
      <c r="M220" s="562"/>
      <c r="N220" s="562"/>
      <c r="O220" s="562"/>
      <c r="P220" s="562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8"/>
      <c r="AH220" s="60"/>
    </row>
    <row r="221" spans="1:34">
      <c r="A221" s="60"/>
      <c r="B221" s="780" t="s">
        <v>117</v>
      </c>
      <c r="C221" s="781"/>
      <c r="D221" s="483">
        <v>0</v>
      </c>
      <c r="E221" s="688"/>
      <c r="F221" s="688"/>
      <c r="G221" s="688"/>
      <c r="H221" s="688"/>
      <c r="I221" s="688"/>
      <c r="J221" s="688"/>
      <c r="K221" s="688"/>
      <c r="L221" s="688"/>
      <c r="M221" s="688"/>
      <c r="N221" s="688"/>
      <c r="O221" s="688"/>
      <c r="P221" s="688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8"/>
      <c r="AH221" s="60"/>
    </row>
    <row r="222" spans="1:34" s="313" customFormat="1" ht="12.75">
      <c r="A222" s="144"/>
      <c r="B222" s="144"/>
      <c r="C222" s="144"/>
      <c r="D222" s="312"/>
      <c r="E222" s="312"/>
      <c r="F222" s="312"/>
      <c r="G222" s="312"/>
      <c r="H222" s="312"/>
      <c r="I222" s="312"/>
      <c r="J222" s="312"/>
      <c r="K222" s="312"/>
      <c r="L222" s="312"/>
      <c r="M222" s="312"/>
      <c r="N222" s="312"/>
      <c r="O222" s="312"/>
      <c r="P222" s="312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758" t="s">
        <v>110</v>
      </c>
      <c r="AG222" s="759"/>
      <c r="AH222" s="759"/>
    </row>
    <row r="223" spans="1:34" ht="18">
      <c r="A223" s="60"/>
      <c r="B223" s="782" t="s">
        <v>60</v>
      </c>
      <c r="C223" s="783"/>
      <c r="D223" s="314">
        <f>canthormed*64.73</f>
        <v>2330.2800000000002</v>
      </c>
      <c r="E223" s="315"/>
      <c r="F223" s="315"/>
      <c r="G223" s="315"/>
      <c r="H223" s="315"/>
      <c r="I223" s="315"/>
      <c r="J223" s="315"/>
      <c r="K223" s="315"/>
      <c r="L223" s="315"/>
      <c r="M223" s="315"/>
      <c r="N223" s="315"/>
      <c r="O223" s="315"/>
      <c r="P223" s="315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173"/>
      <c r="AH223" s="173"/>
    </row>
    <row r="224" spans="1:34" ht="18">
      <c r="A224" s="60"/>
      <c r="B224" s="173"/>
      <c r="C224" s="316"/>
      <c r="D224" s="173"/>
      <c r="E224" s="709"/>
      <c r="F224" s="709"/>
      <c r="G224" s="709"/>
      <c r="H224" s="707"/>
      <c r="I224" s="707"/>
      <c r="J224" s="707"/>
      <c r="K224" s="707"/>
      <c r="L224" s="707"/>
      <c r="M224" s="707"/>
      <c r="N224" s="692"/>
      <c r="O224" s="692"/>
      <c r="P224" s="692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173"/>
      <c r="AH224" s="173"/>
    </row>
    <row r="225" spans="1:34" ht="18">
      <c r="A225" s="60"/>
      <c r="B225" s="317"/>
      <c r="C225" s="60"/>
      <c r="D225" s="317"/>
      <c r="E225" s="40">
        <v>45047</v>
      </c>
      <c r="F225" s="693" t="s">
        <v>511</v>
      </c>
      <c r="G225" s="617"/>
      <c r="H225" s="40">
        <v>44986</v>
      </c>
      <c r="I225" s="693" t="s">
        <v>510</v>
      </c>
      <c r="J225" s="617"/>
      <c r="K225" s="40">
        <v>44958</v>
      </c>
      <c r="L225" s="744">
        <v>0.08</v>
      </c>
      <c r="M225" s="175"/>
      <c r="N225" s="40">
        <v>44927</v>
      </c>
      <c r="O225" s="693"/>
      <c r="P225" s="317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9"/>
      <c r="AH225" s="69"/>
    </row>
    <row r="226" spans="1:34" ht="12.75">
      <c r="A226" s="60"/>
      <c r="B226" s="318" t="s">
        <v>62</v>
      </c>
      <c r="C226" s="319" t="s">
        <v>63</v>
      </c>
      <c r="D226" s="320" t="s">
        <v>64</v>
      </c>
      <c r="E226" s="320"/>
      <c r="F226" s="320"/>
      <c r="G226" s="320"/>
      <c r="H226" s="320"/>
      <c r="I226" s="320"/>
      <c r="J226" s="320"/>
      <c r="K226" s="320"/>
      <c r="L226" s="320"/>
      <c r="M226" s="320"/>
      <c r="N226" s="320"/>
      <c r="O226" s="320"/>
      <c r="P226" s="32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9"/>
      <c r="AH226" s="69"/>
    </row>
    <row r="227" spans="1:34" ht="15">
      <c r="A227" s="60"/>
      <c r="B227" s="669">
        <v>4</v>
      </c>
      <c r="C227" s="670">
        <v>36</v>
      </c>
      <c r="D227" s="671" t="s">
        <v>118</v>
      </c>
      <c r="E227" s="324">
        <f t="shared" ref="E227:E233" si="97">E284</f>
        <v>125715.62324159998</v>
      </c>
      <c r="F227" s="325"/>
      <c r="G227" s="305"/>
      <c r="H227" s="324">
        <f t="shared" ref="H227:H233" si="98">H284</f>
        <v>114042.02965488</v>
      </c>
      <c r="I227" s="325"/>
      <c r="J227" s="305"/>
      <c r="K227" s="324">
        <f t="shared" ref="K227:K233" si="99">K284</f>
        <v>96980.623643519997</v>
      </c>
      <c r="L227" s="325"/>
      <c r="M227" s="305"/>
      <c r="N227" s="324">
        <f t="shared" ref="N227:N233" si="100">N284</f>
        <v>89796.873743999997</v>
      </c>
      <c r="O227" s="325"/>
      <c r="P227" s="305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9"/>
      <c r="AH227" s="69"/>
    </row>
    <row r="228" spans="1:34" ht="12.75">
      <c r="A228" s="60"/>
      <c r="B228" s="485">
        <v>10</v>
      </c>
      <c r="C228" s="611">
        <f>porantighormed</f>
        <v>1.2</v>
      </c>
      <c r="D228" s="323" t="s">
        <v>73</v>
      </c>
      <c r="E228" s="326">
        <f t="shared" si="97"/>
        <v>150858.74788991996</v>
      </c>
      <c r="F228" s="327"/>
      <c r="G228" s="305"/>
      <c r="H228" s="326">
        <f t="shared" si="98"/>
        <v>136850.435585856</v>
      </c>
      <c r="I228" s="327"/>
      <c r="J228" s="305"/>
      <c r="K228" s="326">
        <f t="shared" si="99"/>
        <v>116376.748372224</v>
      </c>
      <c r="L228" s="327"/>
      <c r="M228" s="305"/>
      <c r="N228" s="326">
        <f t="shared" si="100"/>
        <v>107756.24849279999</v>
      </c>
      <c r="O228" s="327"/>
      <c r="P228" s="305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9"/>
      <c r="AH228" s="69"/>
    </row>
    <row r="229" spans="1:34">
      <c r="A229" s="60"/>
      <c r="B229" s="669">
        <v>6</v>
      </c>
      <c r="C229" s="672">
        <f t="shared" ref="C229:C231" si="101">C286</f>
        <v>36</v>
      </c>
      <c r="D229" s="671" t="s">
        <v>72</v>
      </c>
      <c r="E229" s="324">
        <f t="shared" si="97"/>
        <v>31202.639999999999</v>
      </c>
      <c r="F229" s="325"/>
      <c r="G229" s="305"/>
      <c r="H229" s="324">
        <f t="shared" si="98"/>
        <v>28305.252000000004</v>
      </c>
      <c r="I229" s="325"/>
      <c r="J229" s="305"/>
      <c r="K229" s="324">
        <f t="shared" si="99"/>
        <v>24070.608000000004</v>
      </c>
      <c r="L229" s="325"/>
      <c r="M229" s="305"/>
      <c r="N229" s="324">
        <f t="shared" si="100"/>
        <v>22287.600000000002</v>
      </c>
      <c r="O229" s="325"/>
      <c r="P229" s="305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9"/>
      <c r="AH229" s="69"/>
    </row>
    <row r="230" spans="1:34" ht="12.75">
      <c r="A230" s="60"/>
      <c r="B230" s="485">
        <v>14</v>
      </c>
      <c r="C230" s="611">
        <v>7.0000000000000007E-2</v>
      </c>
      <c r="D230" s="323" t="s">
        <v>119</v>
      </c>
      <c r="E230" s="326">
        <f t="shared" si="97"/>
        <v>2184.1848</v>
      </c>
      <c r="F230" s="327"/>
      <c r="G230" s="305"/>
      <c r="H230" s="326">
        <f t="shared" si="98"/>
        <v>1981.3676400000004</v>
      </c>
      <c r="I230" s="327"/>
      <c r="J230" s="305"/>
      <c r="K230" s="326">
        <f t="shared" si="99"/>
        <v>1684.9425600000004</v>
      </c>
      <c r="L230" s="327"/>
      <c r="M230" s="305"/>
      <c r="N230" s="326">
        <f t="shared" si="100"/>
        <v>1560.1320000000003</v>
      </c>
      <c r="O230" s="327"/>
      <c r="P230" s="305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9"/>
      <c r="AH230" s="69"/>
    </row>
    <row r="231" spans="1:34">
      <c r="A231" s="60"/>
      <c r="B231" s="669">
        <v>18</v>
      </c>
      <c r="C231" s="672">
        <f t="shared" si="101"/>
        <v>18</v>
      </c>
      <c r="D231" s="673" t="s">
        <v>120</v>
      </c>
      <c r="E231" s="324">
        <f t="shared" si="97"/>
        <v>12510.973439999998</v>
      </c>
      <c r="F231" s="325"/>
      <c r="G231" s="305"/>
      <c r="H231" s="324">
        <f t="shared" si="98"/>
        <v>11349.240191999999</v>
      </c>
      <c r="I231" s="325"/>
      <c r="J231" s="305"/>
      <c r="K231" s="324">
        <f t="shared" si="99"/>
        <v>9651.3223679999992</v>
      </c>
      <c r="L231" s="325"/>
      <c r="M231" s="305"/>
      <c r="N231" s="324">
        <f t="shared" si="100"/>
        <v>8936.409599999999</v>
      </c>
      <c r="O231" s="325"/>
      <c r="P231" s="305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9"/>
      <c r="AH231" s="69"/>
    </row>
    <row r="232" spans="1:34" ht="12.75">
      <c r="A232" s="60"/>
      <c r="B232" s="485">
        <v>188</v>
      </c>
      <c r="C232" s="611">
        <v>7.0000000000000007E-2</v>
      </c>
      <c r="D232" s="323" t="s">
        <v>75</v>
      </c>
      <c r="E232" s="326">
        <f t="shared" si="97"/>
        <v>22331.895220006398</v>
      </c>
      <c r="F232" s="327"/>
      <c r="G232" s="305"/>
      <c r="H232" s="326">
        <f t="shared" si="98"/>
        <v>20258.219235291523</v>
      </c>
      <c r="I232" s="327"/>
      <c r="J232" s="305"/>
      <c r="K232" s="326">
        <f t="shared" si="99"/>
        <v>17227.462026862082</v>
      </c>
      <c r="L232" s="327"/>
      <c r="M232" s="305"/>
      <c r="N232" s="326">
        <f t="shared" si="100"/>
        <v>15951.353728576001</v>
      </c>
      <c r="O232" s="327"/>
      <c r="P232" s="305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9"/>
      <c r="AH232" s="69"/>
    </row>
    <row r="233" spans="1:34" ht="15">
      <c r="A233" s="60"/>
      <c r="B233" s="494">
        <v>78</v>
      </c>
      <c r="C233" s="522">
        <v>0</v>
      </c>
      <c r="D233" s="328" t="s">
        <v>78</v>
      </c>
      <c r="E233" s="324">
        <f t="shared" si="97"/>
        <v>0</v>
      </c>
      <c r="F233" s="325"/>
      <c r="G233" s="305"/>
      <c r="H233" s="324">
        <f t="shared" si="98"/>
        <v>0</v>
      </c>
      <c r="I233" s="325"/>
      <c r="J233" s="305"/>
      <c r="K233" s="324">
        <f t="shared" si="99"/>
        <v>0</v>
      </c>
      <c r="L233" s="325"/>
      <c r="M233" s="305"/>
      <c r="N233" s="324">
        <f t="shared" si="100"/>
        <v>0</v>
      </c>
      <c r="O233" s="325"/>
      <c r="P233" s="305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9"/>
      <c r="AH233" s="69"/>
    </row>
    <row r="234" spans="1:34" ht="14.25">
      <c r="A234" s="60"/>
      <c r="B234" s="485">
        <v>29</v>
      </c>
      <c r="C234" s="486">
        <f>C291</f>
        <v>0</v>
      </c>
      <c r="D234" s="323" t="s">
        <v>82</v>
      </c>
      <c r="E234" s="326">
        <f t="shared" ref="E234:F234" si="102">E291</f>
        <v>0</v>
      </c>
      <c r="F234" s="327">
        <f t="shared" si="102"/>
        <v>0</v>
      </c>
      <c r="G234" s="305"/>
      <c r="H234" s="326">
        <f t="shared" ref="H234:I237" si="103">H291</f>
        <v>0</v>
      </c>
      <c r="I234" s="327">
        <f t="shared" si="103"/>
        <v>0</v>
      </c>
      <c r="J234" s="305"/>
      <c r="K234" s="326">
        <f t="shared" ref="K234:L237" si="104">K291</f>
        <v>0</v>
      </c>
      <c r="L234" s="327">
        <f t="shared" si="104"/>
        <v>0</v>
      </c>
      <c r="M234" s="305"/>
      <c r="N234" s="326">
        <f t="shared" ref="N234:O234" si="105">N291</f>
        <v>0</v>
      </c>
      <c r="O234" s="327">
        <f t="shared" si="105"/>
        <v>0</v>
      </c>
      <c r="P234" s="305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9"/>
      <c r="AH234" s="69"/>
    </row>
    <row r="235" spans="1:34">
      <c r="A235" s="60"/>
      <c r="B235" s="669">
        <v>117</v>
      </c>
      <c r="C235" s="674"/>
      <c r="D235" s="671" t="s">
        <v>81</v>
      </c>
      <c r="E235" s="324">
        <f t="shared" ref="E235" si="106">E292</f>
        <v>8836.8559999999998</v>
      </c>
      <c r="F235" s="325"/>
      <c r="G235" s="305"/>
      <c r="H235" s="324">
        <f t="shared" si="103"/>
        <v>8016.2907999999998</v>
      </c>
      <c r="I235" s="325"/>
      <c r="J235" s="305"/>
      <c r="K235" s="324">
        <f t="shared" si="104"/>
        <v>6817.0032000000001</v>
      </c>
      <c r="L235" s="325"/>
      <c r="M235" s="305"/>
      <c r="N235" s="324">
        <f t="shared" ref="N235" si="107">N292</f>
        <v>6312.04</v>
      </c>
      <c r="O235" s="325"/>
      <c r="P235" s="305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9"/>
      <c r="AH235" s="69"/>
    </row>
    <row r="236" spans="1:34">
      <c r="A236" s="60"/>
      <c r="B236" s="495">
        <v>38</v>
      </c>
      <c r="C236" s="542">
        <f>D220</f>
        <v>15</v>
      </c>
      <c r="D236" s="329" t="s">
        <v>121</v>
      </c>
      <c r="E236" s="326">
        <f t="shared" ref="E236" si="108">E293</f>
        <v>21104.874</v>
      </c>
      <c r="F236" s="327"/>
      <c r="G236" s="305"/>
      <c r="H236" s="326">
        <f t="shared" si="103"/>
        <v>19145.135699999999</v>
      </c>
      <c r="I236" s="327"/>
      <c r="J236" s="305"/>
      <c r="K236" s="326">
        <f t="shared" si="104"/>
        <v>16280.902800000002</v>
      </c>
      <c r="L236" s="327"/>
      <c r="M236" s="305"/>
      <c r="N236" s="326">
        <f t="shared" ref="N236" si="109">N293</f>
        <v>15074.91</v>
      </c>
      <c r="O236" s="327"/>
      <c r="P236" s="305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9"/>
      <c r="AH236" s="69"/>
    </row>
    <row r="237" spans="1:34">
      <c r="A237" s="60"/>
      <c r="B237" s="494"/>
      <c r="C237" s="488"/>
      <c r="D237" s="330" t="s">
        <v>122</v>
      </c>
      <c r="E237" s="331">
        <f t="shared" ref="E237" si="110">E294</f>
        <v>374745.79459152633</v>
      </c>
      <c r="F237" s="325"/>
      <c r="G237" s="305"/>
      <c r="H237" s="331">
        <f t="shared" si="103"/>
        <v>339947.97080802754</v>
      </c>
      <c r="I237" s="325"/>
      <c r="J237" s="305"/>
      <c r="K237" s="331">
        <f t="shared" si="104"/>
        <v>289089.61297060602</v>
      </c>
      <c r="L237" s="325"/>
      <c r="M237" s="305"/>
      <c r="N237" s="331">
        <f t="shared" ref="N237" si="111">N294</f>
        <v>267675.567565376</v>
      </c>
      <c r="O237" s="325"/>
      <c r="P237" s="305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9"/>
      <c r="AH237" s="69"/>
    </row>
    <row r="238" spans="1:34" ht="15">
      <c r="A238" s="60"/>
      <c r="B238" s="496" t="s">
        <v>123</v>
      </c>
      <c r="C238" s="489"/>
      <c r="D238" s="323"/>
      <c r="E238" s="536">
        <v>0</v>
      </c>
      <c r="F238" s="327"/>
      <c r="G238" s="305"/>
      <c r="H238" s="536">
        <v>0</v>
      </c>
      <c r="I238" s="327"/>
      <c r="J238" s="305"/>
      <c r="K238" s="536">
        <v>0</v>
      </c>
      <c r="L238" s="327"/>
      <c r="M238" s="305"/>
      <c r="N238" s="536">
        <v>0</v>
      </c>
      <c r="O238" s="327"/>
      <c r="P238" s="305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9"/>
      <c r="AH238" s="69"/>
    </row>
    <row r="239" spans="1:34">
      <c r="A239" s="60"/>
      <c r="B239" s="494">
        <v>84</v>
      </c>
      <c r="C239" s="47">
        <f>C296</f>
        <v>30</v>
      </c>
      <c r="D239" s="328" t="s">
        <v>86</v>
      </c>
      <c r="E239" s="324">
        <f>E296</f>
        <v>20872</v>
      </c>
      <c r="F239" s="325"/>
      <c r="G239" s="305"/>
      <c r="H239" s="324">
        <f>H296</f>
        <v>20872</v>
      </c>
      <c r="I239" s="325"/>
      <c r="J239" s="305"/>
      <c r="K239" s="324">
        <f>K296</f>
        <v>14700</v>
      </c>
      <c r="L239" s="325"/>
      <c r="M239" s="305"/>
      <c r="N239" s="324">
        <f>N296</f>
        <v>14700</v>
      </c>
      <c r="O239" s="325"/>
      <c r="P239" s="305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9"/>
      <c r="AH239" s="69"/>
    </row>
    <row r="240" spans="1:34">
      <c r="A240" s="60"/>
      <c r="B240" s="494">
        <v>54</v>
      </c>
      <c r="C240" s="47">
        <f t="shared" ref="C240:C241" si="112">C297</f>
        <v>30</v>
      </c>
      <c r="D240" s="328" t="s">
        <v>88</v>
      </c>
      <c r="E240" s="324">
        <f>E297</f>
        <v>4500</v>
      </c>
      <c r="F240" s="325"/>
      <c r="G240" s="305"/>
      <c r="H240" s="324">
        <f>H297</f>
        <v>4500</v>
      </c>
      <c r="I240" s="325"/>
      <c r="J240" s="305"/>
      <c r="K240" s="324">
        <f>K297</f>
        <v>4500</v>
      </c>
      <c r="L240" s="325"/>
      <c r="M240" s="305"/>
      <c r="N240" s="324">
        <f>N297</f>
        <v>4500</v>
      </c>
      <c r="O240" s="325"/>
      <c r="P240" s="305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9"/>
      <c r="AH240" s="69"/>
    </row>
    <row r="241" spans="1:34">
      <c r="A241" s="60"/>
      <c r="B241" s="494">
        <v>64</v>
      </c>
      <c r="C241" s="47">
        <f t="shared" si="112"/>
        <v>29.999999400000011</v>
      </c>
      <c r="D241" s="328" t="s">
        <v>88</v>
      </c>
      <c r="E241" s="326">
        <f>E298</f>
        <v>5000</v>
      </c>
      <c r="F241" s="327"/>
      <c r="G241" s="305"/>
      <c r="H241" s="326">
        <f>H298</f>
        <v>5000</v>
      </c>
      <c r="I241" s="327"/>
      <c r="J241" s="305"/>
      <c r="K241" s="326">
        <f>K298</f>
        <v>5000</v>
      </c>
      <c r="L241" s="327"/>
      <c r="M241" s="305"/>
      <c r="N241" s="326">
        <f>N298</f>
        <v>5000</v>
      </c>
      <c r="O241" s="327"/>
      <c r="P241" s="305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9"/>
      <c r="AH241" s="69"/>
    </row>
    <row r="242" spans="1:34" ht="12.75">
      <c r="A242" s="60"/>
      <c r="B242" s="497"/>
      <c r="C242" s="490"/>
      <c r="D242" s="328"/>
      <c r="E242" s="324">
        <f>E299</f>
        <v>0</v>
      </c>
      <c r="F242" s="325"/>
      <c r="G242" s="305"/>
      <c r="H242" s="324">
        <f>H299</f>
        <v>0</v>
      </c>
      <c r="I242" s="325"/>
      <c r="J242" s="305"/>
      <c r="K242" s="324">
        <f>K299</f>
        <v>0</v>
      </c>
      <c r="L242" s="325"/>
      <c r="M242" s="305"/>
      <c r="N242" s="324">
        <f>N299</f>
        <v>0</v>
      </c>
      <c r="O242" s="325"/>
      <c r="P242" s="305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9"/>
      <c r="AH242" s="69"/>
    </row>
    <row r="243" spans="1:34" ht="15">
      <c r="A243" s="60"/>
      <c r="B243" s="485"/>
      <c r="C243" s="491"/>
      <c r="D243" s="332" t="s">
        <v>124</v>
      </c>
      <c r="E243" s="333">
        <f>E300</f>
        <v>405117.79459152633</v>
      </c>
      <c r="F243" s="327"/>
      <c r="G243" s="305"/>
      <c r="H243" s="333">
        <f>H300</f>
        <v>370319.97080802754</v>
      </c>
      <c r="I243" s="327"/>
      <c r="J243" s="305"/>
      <c r="K243" s="333">
        <f>K300</f>
        <v>313289.61297060602</v>
      </c>
      <c r="L243" s="327"/>
      <c r="M243" s="305"/>
      <c r="N243" s="333">
        <f>N300</f>
        <v>291875.567565376</v>
      </c>
      <c r="O243" s="327"/>
      <c r="P243" s="305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9"/>
      <c r="AH243" s="69"/>
    </row>
    <row r="244" spans="1:34" ht="15">
      <c r="A244" s="60"/>
      <c r="B244" s="494">
        <v>440</v>
      </c>
      <c r="C244" s="492"/>
      <c r="D244" s="328" t="s">
        <v>90</v>
      </c>
      <c r="E244" s="537">
        <v>0</v>
      </c>
      <c r="F244" s="334">
        <f t="shared" ref="F244:F249" si="113">F301</f>
        <v>0</v>
      </c>
      <c r="G244" s="305"/>
      <c r="H244" s="537">
        <v>0</v>
      </c>
      <c r="I244" s="334">
        <f t="shared" ref="I244:I249" si="114">I301</f>
        <v>0</v>
      </c>
      <c r="J244" s="305"/>
      <c r="K244" s="537">
        <v>0</v>
      </c>
      <c r="L244" s="334">
        <f t="shared" ref="L244:L249" si="115">L301</f>
        <v>0</v>
      </c>
      <c r="M244" s="305"/>
      <c r="N244" s="537">
        <v>0</v>
      </c>
      <c r="O244" s="334">
        <f t="shared" ref="O244:O249" si="116">O301</f>
        <v>0</v>
      </c>
      <c r="P244" s="305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9"/>
      <c r="AG244" s="69"/>
    </row>
    <row r="245" spans="1:34" ht="12.75">
      <c r="A245" s="60"/>
      <c r="B245" s="485">
        <v>502</v>
      </c>
      <c r="C245" s="565">
        <v>0.16</v>
      </c>
      <c r="D245" s="326" t="s">
        <v>125</v>
      </c>
      <c r="E245" s="326"/>
      <c r="F245" s="335">
        <f t="shared" si="113"/>
        <v>-59959.327134644212</v>
      </c>
      <c r="G245" s="305"/>
      <c r="H245" s="326"/>
      <c r="I245" s="335">
        <f t="shared" si="114"/>
        <v>-54391.675329284401</v>
      </c>
      <c r="J245" s="305"/>
      <c r="K245" s="326"/>
      <c r="L245" s="335">
        <f t="shared" si="115"/>
        <v>-46254.338075296961</v>
      </c>
      <c r="M245" s="305"/>
      <c r="N245" s="326"/>
      <c r="O245" s="335">
        <f t="shared" si="116"/>
        <v>-42828.090810460162</v>
      </c>
      <c r="P245" s="305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9"/>
      <c r="AH245" s="69"/>
    </row>
    <row r="246" spans="1:34" ht="12.75">
      <c r="A246" s="60"/>
      <c r="B246" s="485">
        <v>505</v>
      </c>
      <c r="C246" s="485">
        <v>0.03</v>
      </c>
      <c r="D246" s="326" t="s">
        <v>126</v>
      </c>
      <c r="E246" s="326"/>
      <c r="F246" s="335">
        <f t="shared" si="113"/>
        <v>-11242.373837745788</v>
      </c>
      <c r="G246" s="305"/>
      <c r="H246" s="326"/>
      <c r="I246" s="335">
        <f t="shared" si="114"/>
        <v>-10198.439124240824</v>
      </c>
      <c r="J246" s="305"/>
      <c r="K246" s="326"/>
      <c r="L246" s="335">
        <f t="shared" si="115"/>
        <v>-8672.6883891181806</v>
      </c>
      <c r="M246" s="305"/>
      <c r="N246" s="326"/>
      <c r="O246" s="335">
        <f t="shared" si="116"/>
        <v>-8030.26702696128</v>
      </c>
      <c r="P246" s="305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9"/>
      <c r="AG246" s="69"/>
    </row>
    <row r="247" spans="1:34" ht="12.75">
      <c r="A247" s="60"/>
      <c r="B247" s="498">
        <v>332</v>
      </c>
      <c r="C247" s="523">
        <v>0</v>
      </c>
      <c r="D247" s="324" t="s">
        <v>94</v>
      </c>
      <c r="E247" s="324"/>
      <c r="F247" s="334">
        <f t="shared" si="113"/>
        <v>0</v>
      </c>
      <c r="G247" s="305"/>
      <c r="H247" s="324"/>
      <c r="I247" s="334">
        <f t="shared" si="114"/>
        <v>0</v>
      </c>
      <c r="J247" s="305"/>
      <c r="K247" s="324"/>
      <c r="L247" s="334">
        <f t="shared" si="115"/>
        <v>0</v>
      </c>
      <c r="M247" s="305"/>
      <c r="N247" s="324"/>
      <c r="O247" s="334">
        <f t="shared" si="116"/>
        <v>0</v>
      </c>
      <c r="P247" s="305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9"/>
      <c r="AG247" s="69"/>
    </row>
    <row r="248" spans="1:34" ht="12.75">
      <c r="A248" s="60"/>
      <c r="B248" s="499" t="s">
        <v>95</v>
      </c>
      <c r="C248" s="524">
        <v>0</v>
      </c>
      <c r="D248" s="336"/>
      <c r="E248" s="337"/>
      <c r="F248" s="338">
        <f t="shared" si="113"/>
        <v>0</v>
      </c>
      <c r="G248" s="305"/>
      <c r="H248" s="337"/>
      <c r="I248" s="338">
        <f t="shared" si="114"/>
        <v>0</v>
      </c>
      <c r="J248" s="305"/>
      <c r="K248" s="337"/>
      <c r="L248" s="338">
        <f t="shared" si="115"/>
        <v>0</v>
      </c>
      <c r="M248" s="305"/>
      <c r="N248" s="337"/>
      <c r="O248" s="338">
        <f t="shared" si="116"/>
        <v>0</v>
      </c>
      <c r="P248" s="305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9"/>
      <c r="AG248" s="69"/>
    </row>
    <row r="249" spans="1:34" ht="15">
      <c r="A249" s="60"/>
      <c r="B249" s="339"/>
      <c r="C249" s="493"/>
      <c r="D249" s="340" t="s">
        <v>96</v>
      </c>
      <c r="E249" s="341"/>
      <c r="F249" s="342">
        <f t="shared" si="113"/>
        <v>-71201.700972389997</v>
      </c>
      <c r="G249" s="305"/>
      <c r="H249" s="341"/>
      <c r="I249" s="342">
        <f t="shared" si="114"/>
        <v>-64590.114453525224</v>
      </c>
      <c r="J249" s="305"/>
      <c r="K249" s="341"/>
      <c r="L249" s="342">
        <f t="shared" si="115"/>
        <v>-54927.026464415139</v>
      </c>
      <c r="M249" s="305"/>
      <c r="N249" s="341"/>
      <c r="O249" s="342">
        <f t="shared" si="116"/>
        <v>-50858.357837421441</v>
      </c>
      <c r="P249" s="305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9"/>
      <c r="AH249" s="69"/>
    </row>
    <row r="250" spans="1:34" ht="12.75">
      <c r="A250" s="60"/>
      <c r="B250" s="343"/>
      <c r="C250" s="191"/>
      <c r="D250" s="60"/>
      <c r="E250" s="341"/>
      <c r="F250" s="341"/>
      <c r="G250" s="192"/>
      <c r="H250" s="341"/>
      <c r="I250" s="341"/>
      <c r="J250" s="192"/>
      <c r="K250" s="341"/>
      <c r="L250" s="341"/>
      <c r="M250" s="192"/>
      <c r="N250" s="341"/>
      <c r="O250" s="341"/>
      <c r="P250" s="192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9"/>
      <c r="AG250" s="69"/>
    </row>
    <row r="251" spans="1:34">
      <c r="A251" s="60"/>
      <c r="B251" s="95"/>
      <c r="C251" s="60"/>
      <c r="D251" s="344"/>
      <c r="E251" s="345" t="str">
        <f t="shared" ref="E251:F251" si="117">E308</f>
        <v>Sueldo líquido</v>
      </c>
      <c r="F251" s="607">
        <f t="shared" si="117"/>
        <v>333916.09361913631</v>
      </c>
      <c r="G251" s="346"/>
      <c r="H251" s="345" t="str">
        <f t="shared" ref="H251:I251" si="118">H308</f>
        <v>Sueldo líquido</v>
      </c>
      <c r="I251" s="607">
        <f t="shared" si="118"/>
        <v>305729.85635450232</v>
      </c>
      <c r="J251" s="346"/>
      <c r="K251" s="345" t="str">
        <f t="shared" ref="K251:L251" si="119">K308</f>
        <v>Sueldo líquido</v>
      </c>
      <c r="L251" s="607">
        <f t="shared" si="119"/>
        <v>258362.58650619088</v>
      </c>
      <c r="M251" s="346"/>
      <c r="N251" s="345" t="str">
        <f t="shared" ref="N251:O251" si="120">N308</f>
        <v>Sueldo líquido</v>
      </c>
      <c r="O251" s="607">
        <f t="shared" si="120"/>
        <v>241017.20972795456</v>
      </c>
      <c r="P251" s="346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9"/>
      <c r="AH251" s="69"/>
    </row>
    <row r="252" spans="1:34" ht="16.5" thickBot="1">
      <c r="A252" s="60"/>
      <c r="B252" s="95"/>
      <c r="C252" s="60"/>
      <c r="D252" s="68"/>
      <c r="E252" s="341"/>
      <c r="F252" s="539"/>
      <c r="G252" s="347"/>
      <c r="H252" s="341"/>
      <c r="I252" s="539"/>
      <c r="J252" s="347"/>
      <c r="K252" s="341"/>
      <c r="L252" s="539"/>
      <c r="M252" s="347"/>
      <c r="N252" s="341"/>
      <c r="O252" s="539"/>
      <c r="P252" s="347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9"/>
      <c r="AH252" s="69"/>
    </row>
    <row r="253" spans="1:34">
      <c r="A253" s="60"/>
      <c r="B253" s="125"/>
      <c r="C253" s="68"/>
      <c r="D253" s="348"/>
      <c r="E253" s="196" t="str">
        <f t="shared" ref="E253:F253" si="121">E310</f>
        <v>Aumento del mes</v>
      </c>
      <c r="F253" s="608">
        <f t="shared" si="121"/>
        <v>28186.237264633994</v>
      </c>
      <c r="G253" s="349"/>
      <c r="H253" s="196" t="str">
        <f t="shared" ref="H253:I253" si="122">H310</f>
        <v>Aumento del mes</v>
      </c>
      <c r="I253" s="608">
        <f t="shared" si="122"/>
        <v>47367.269848311436</v>
      </c>
      <c r="J253" s="349"/>
      <c r="K253" s="196" t="str">
        <f t="shared" ref="K253:L253" si="123">K310</f>
        <v>Aumento del mes</v>
      </c>
      <c r="L253" s="608">
        <f t="shared" si="123"/>
        <v>17345.376778236328</v>
      </c>
      <c r="M253" s="349"/>
      <c r="N253" s="196" t="str">
        <f t="shared" ref="N253:O253" si="124">N310</f>
        <v>Aumento del mes</v>
      </c>
      <c r="O253" s="608">
        <f t="shared" si="124"/>
        <v>0</v>
      </c>
      <c r="P253" s="349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9"/>
      <c r="AH253" s="69"/>
    </row>
    <row r="254" spans="1:34" ht="16.5" thickBot="1">
      <c r="A254" s="60"/>
      <c r="B254" s="125"/>
      <c r="C254" s="68"/>
      <c r="D254" s="625"/>
      <c r="E254" s="629" t="str">
        <f t="shared" ref="E254:F254" si="125">E311</f>
        <v>Porc resp a anterior</v>
      </c>
      <c r="F254" s="507">
        <f t="shared" si="125"/>
        <v>9.219327677291439E-2</v>
      </c>
      <c r="G254" s="349"/>
      <c r="H254" s="629" t="str">
        <f t="shared" ref="H254:I254" si="126">H311</f>
        <v>Porc resp a anterior</v>
      </c>
      <c r="I254" s="507">
        <f t="shared" si="126"/>
        <v>0.18333641294141642</v>
      </c>
      <c r="J254" s="349"/>
      <c r="K254" s="629" t="str">
        <f t="shared" ref="K254:L254" si="127">K311</f>
        <v>Porc resp a anterior</v>
      </c>
      <c r="L254" s="507">
        <f t="shared" si="127"/>
        <v>7.1967378586013528E-2</v>
      </c>
      <c r="M254" s="349"/>
      <c r="N254" s="629" t="str">
        <f t="shared" ref="N254:O254" si="128">N311</f>
        <v>Porc resp a anterior</v>
      </c>
      <c r="O254" s="507">
        <f t="shared" si="128"/>
        <v>0</v>
      </c>
      <c r="P254" s="349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9"/>
      <c r="AH254" s="69"/>
    </row>
    <row r="255" spans="1:34" ht="16.5" thickBot="1">
      <c r="A255" s="60"/>
      <c r="B255" s="125"/>
      <c r="C255" s="68"/>
      <c r="D255" s="626"/>
      <c r="E255" s="630"/>
      <c r="F255" s="350"/>
      <c r="G255" s="349"/>
      <c r="H255" s="630"/>
      <c r="I255" s="350"/>
      <c r="J255" s="349"/>
      <c r="K255" s="630"/>
      <c r="L255" s="350"/>
      <c r="M255" s="349"/>
      <c r="N255" s="630"/>
      <c r="O255" s="350"/>
      <c r="P255" s="349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9"/>
      <c r="AG255" s="69"/>
    </row>
    <row r="256" spans="1:34" ht="18">
      <c r="A256" s="60"/>
      <c r="B256" s="125"/>
      <c r="C256" s="68"/>
      <c r="D256" s="627"/>
      <c r="E256" s="631" t="str">
        <f t="shared" ref="E256:F256" si="129">E313</f>
        <v>Aumento acumulado</v>
      </c>
      <c r="F256" s="609">
        <f t="shared" si="129"/>
        <v>92898.883891181758</v>
      </c>
      <c r="G256" s="349"/>
      <c r="H256" s="631" t="str">
        <f t="shared" ref="H256:I256" si="130">H313</f>
        <v>Aumento acumulado</v>
      </c>
      <c r="I256" s="609">
        <f t="shared" si="130"/>
        <v>64712.646626547765</v>
      </c>
      <c r="J256" s="349"/>
      <c r="K256" s="631" t="str">
        <f t="shared" ref="K256:L256" si="131">K313</f>
        <v>Aumento acumulado</v>
      </c>
      <c r="L256" s="609">
        <f t="shared" si="131"/>
        <v>17345.376778236328</v>
      </c>
      <c r="M256" s="349"/>
      <c r="N256" s="631" t="str">
        <f t="shared" ref="N256:O256" si="132">N313</f>
        <v>Aumento acumulado</v>
      </c>
      <c r="O256" s="609">
        <f t="shared" si="132"/>
        <v>0</v>
      </c>
      <c r="P256" s="349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9"/>
      <c r="AG256" s="69"/>
    </row>
    <row r="257" spans="1:34" ht="16.5" thickBot="1">
      <c r="A257" s="60"/>
      <c r="B257" s="125"/>
      <c r="C257" s="68"/>
      <c r="D257" s="628"/>
      <c r="E257" s="632" t="str">
        <f t="shared" ref="E257:F257" si="133">E314</f>
        <v>Porcentaje acumulado</v>
      </c>
      <c r="F257" s="506">
        <f t="shared" si="133"/>
        <v>0.38544502276845838</v>
      </c>
      <c r="G257" s="349"/>
      <c r="H257" s="632" t="str">
        <f t="shared" ref="H257:I257" si="134">H314</f>
        <v>Porcentaje acumulado</v>
      </c>
      <c r="I257" s="506">
        <f t="shared" si="134"/>
        <v>0.2684980325661866</v>
      </c>
      <c r="J257" s="349"/>
      <c r="K257" s="632" t="str">
        <f t="shared" ref="K257:L257" si="135">K314</f>
        <v>Porcentaje acumulado</v>
      </c>
      <c r="L257" s="506">
        <f t="shared" si="135"/>
        <v>7.1967378586013528E-2</v>
      </c>
      <c r="M257" s="349"/>
      <c r="N257" s="632" t="str">
        <f t="shared" ref="N257:O257" si="136">N314</f>
        <v>Porcentaje acumulado</v>
      </c>
      <c r="O257" s="506">
        <f t="shared" si="136"/>
        <v>0</v>
      </c>
      <c r="P257" s="349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9"/>
      <c r="AH257" s="69"/>
    </row>
    <row r="258" spans="1:34" ht="16.5" thickBot="1">
      <c r="A258" s="60"/>
      <c r="B258" s="125"/>
      <c r="C258" s="68"/>
      <c r="D258" s="628"/>
      <c r="E258" s="630"/>
      <c r="F258" s="350"/>
      <c r="G258" s="349"/>
      <c r="H258" s="630"/>
      <c r="I258" s="350"/>
      <c r="J258" s="349"/>
      <c r="K258" s="630"/>
      <c r="L258" s="350"/>
      <c r="M258" s="349"/>
      <c r="N258" s="630"/>
      <c r="O258" s="350"/>
      <c r="P258" s="349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9"/>
      <c r="AH258" s="69"/>
    </row>
    <row r="259" spans="1:34">
      <c r="A259" s="60"/>
      <c r="B259" s="125"/>
      <c r="C259" s="68"/>
      <c r="D259" s="348"/>
      <c r="E259" s="202" t="str">
        <f t="shared" ref="E259:F259" si="137">E316</f>
        <v>Aumento provincial</v>
      </c>
      <c r="F259" s="645">
        <f t="shared" si="137"/>
        <v>86726.883891181758</v>
      </c>
      <c r="G259" s="349"/>
      <c r="H259" s="202" t="str">
        <f t="shared" ref="H259:I259" si="138">H316</f>
        <v>Aumento provincial</v>
      </c>
      <c r="I259" s="645">
        <f t="shared" si="138"/>
        <v>58540.646626547765</v>
      </c>
      <c r="J259" s="349"/>
      <c r="K259" s="202" t="str">
        <f t="shared" ref="K259:L259" si="139">K316</f>
        <v>Aumento provincial</v>
      </c>
      <c r="L259" s="645">
        <f t="shared" si="139"/>
        <v>17345.376778236328</v>
      </c>
      <c r="M259" s="349"/>
      <c r="N259" s="202" t="str">
        <f t="shared" ref="N259:O259" si="140">N316</f>
        <v>Aumento provincial</v>
      </c>
      <c r="O259" s="645">
        <f t="shared" si="140"/>
        <v>0</v>
      </c>
      <c r="P259" s="349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9"/>
      <c r="AH259" s="69"/>
    </row>
    <row r="260" spans="1:34" ht="16.5" thickBot="1">
      <c r="A260" s="60"/>
      <c r="B260" s="125"/>
      <c r="C260" s="68"/>
      <c r="D260" s="348"/>
      <c r="E260" s="203" t="str">
        <f t="shared" ref="E260:F260" si="141">E317</f>
        <v>Porcentaje provincial</v>
      </c>
      <c r="F260" s="646">
        <f t="shared" si="141"/>
        <v>0.39999999999999969</v>
      </c>
      <c r="G260" s="349"/>
      <c r="H260" s="203" t="str">
        <f t="shared" ref="H260:I260" si="142">H317</f>
        <v>Porcentaje provincial</v>
      </c>
      <c r="I260" s="646">
        <f t="shared" si="142"/>
        <v>0.27000000000000018</v>
      </c>
      <c r="J260" s="349"/>
      <c r="K260" s="203" t="str">
        <f t="shared" ref="K260:L260" si="143">K317</f>
        <v>Porcentaje provincial</v>
      </c>
      <c r="L260" s="646">
        <f t="shared" si="143"/>
        <v>7.9999999999999835E-2</v>
      </c>
      <c r="M260" s="349"/>
      <c r="N260" s="203" t="str">
        <f t="shared" ref="N260:O260" si="144">N317</f>
        <v>Porcentaje provincial</v>
      </c>
      <c r="O260" s="646">
        <f t="shared" si="144"/>
        <v>0</v>
      </c>
      <c r="P260" s="349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9"/>
      <c r="AH260" s="69"/>
    </row>
    <row r="261" spans="1:34" ht="16.5" thickBot="1">
      <c r="A261" s="60"/>
      <c r="B261" s="125"/>
      <c r="C261" s="68"/>
      <c r="D261" s="348"/>
      <c r="E261" s="341"/>
      <c r="F261" s="341"/>
      <c r="G261" s="349"/>
      <c r="H261" s="341"/>
      <c r="I261" s="341"/>
      <c r="J261" s="349"/>
      <c r="K261" s="341"/>
      <c r="L261" s="341"/>
      <c r="M261" s="349"/>
      <c r="N261" s="341"/>
      <c r="O261" s="341"/>
      <c r="P261" s="349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9"/>
      <c r="AH261" s="69"/>
    </row>
    <row r="262" spans="1:34" ht="16.5" thickTop="1">
      <c r="A262" s="60"/>
      <c r="B262" s="125"/>
      <c r="C262" s="68"/>
      <c r="D262" s="348"/>
      <c r="E262" s="204" t="str">
        <f t="shared" ref="E262" si="145">E319</f>
        <v>Medio Aguinaldo</v>
      </c>
      <c r="F262" s="205"/>
      <c r="G262" s="349"/>
      <c r="H262" s="204" t="str">
        <f t="shared" ref="H262" si="146">H319</f>
        <v>Medio Aguinaldo</v>
      </c>
      <c r="I262" s="205"/>
      <c r="J262" s="349"/>
      <c r="K262" s="204" t="str">
        <f t="shared" ref="K262" si="147">K319</f>
        <v>Medio Aguinaldo</v>
      </c>
      <c r="L262" s="205"/>
      <c r="M262" s="349"/>
      <c r="N262" s="204" t="str">
        <f t="shared" ref="N262" si="148">N319</f>
        <v>Medio Aguinaldo</v>
      </c>
      <c r="O262" s="205"/>
      <c r="P262" s="349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9"/>
      <c r="AG262" s="69"/>
    </row>
    <row r="263" spans="1:34">
      <c r="A263" s="60"/>
      <c r="B263" s="125"/>
      <c r="C263" s="68"/>
      <c r="D263" s="348"/>
      <c r="E263" s="206" t="str">
        <f t="shared" ref="E263:F263" si="149">E320</f>
        <v>código 100</v>
      </c>
      <c r="F263" s="207">
        <f t="shared" si="149"/>
        <v>187372.89729576316</v>
      </c>
      <c r="G263" s="349"/>
      <c r="H263" s="206" t="str">
        <f t="shared" ref="H263:I263" si="150">H320</f>
        <v>código 100</v>
      </c>
      <c r="I263" s="207">
        <f t="shared" si="150"/>
        <v>169973.98540401377</v>
      </c>
      <c r="J263" s="349"/>
      <c r="K263" s="206" t="str">
        <f t="shared" ref="K263:L263" si="151">K320</f>
        <v>código 100</v>
      </c>
      <c r="L263" s="207">
        <f t="shared" si="151"/>
        <v>144544.80648530301</v>
      </c>
      <c r="M263" s="349"/>
      <c r="N263" s="206" t="str">
        <f t="shared" ref="N263:O263" si="152">N320</f>
        <v>código 100</v>
      </c>
      <c r="O263" s="207">
        <f t="shared" si="152"/>
        <v>133837.783782688</v>
      </c>
      <c r="P263" s="349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9"/>
      <c r="AG263" s="69"/>
    </row>
    <row r="264" spans="1:34">
      <c r="A264" s="60"/>
      <c r="B264" s="125"/>
      <c r="C264" s="68"/>
      <c r="D264" s="348"/>
      <c r="E264" s="351" t="str">
        <f t="shared" ref="E264:F264" si="153">E321</f>
        <v>código 186 (No remun)</v>
      </c>
      <c r="F264" s="352">
        <f t="shared" si="153"/>
        <v>0</v>
      </c>
      <c r="G264" s="349"/>
      <c r="H264" s="351" t="str">
        <f t="shared" ref="H264:I264" si="154">H321</f>
        <v>código 186 (No remun)</v>
      </c>
      <c r="I264" s="352">
        <f t="shared" si="154"/>
        <v>0</v>
      </c>
      <c r="J264" s="349"/>
      <c r="K264" s="351" t="str">
        <f t="shared" ref="K264:L264" si="155">K321</f>
        <v>código 186 (No remun)</v>
      </c>
      <c r="L264" s="352">
        <f t="shared" si="155"/>
        <v>0</v>
      </c>
      <c r="M264" s="349"/>
      <c r="N264" s="351" t="str">
        <f t="shared" ref="N264:O264" si="156">N321</f>
        <v>código 186 (No remun)</v>
      </c>
      <c r="O264" s="352">
        <f t="shared" si="156"/>
        <v>0</v>
      </c>
      <c r="P264" s="349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9"/>
      <c r="AG264" s="69"/>
    </row>
    <row r="265" spans="1:34">
      <c r="A265" s="60"/>
      <c r="B265" s="125"/>
      <c r="C265" s="68"/>
      <c r="D265" s="538"/>
      <c r="E265" s="206" t="str">
        <f t="shared" ref="E265:F265" si="157">E322</f>
        <v>Líquido</v>
      </c>
      <c r="F265" s="208">
        <f t="shared" si="157"/>
        <v>150647.80942579359</v>
      </c>
      <c r="G265" s="349"/>
      <c r="H265" s="206" t="str">
        <f t="shared" ref="H265:I266" si="158">H322</f>
        <v>Líquido</v>
      </c>
      <c r="I265" s="208">
        <f t="shared" si="158"/>
        <v>136659.08426482708</v>
      </c>
      <c r="J265" s="349"/>
      <c r="K265" s="206" t="str">
        <f t="shared" ref="K265:L266" si="159">K322</f>
        <v>Líquido</v>
      </c>
      <c r="L265" s="208">
        <f t="shared" si="159"/>
        <v>116214.02441418363</v>
      </c>
      <c r="M265" s="349"/>
      <c r="N265" s="206" t="str">
        <f t="shared" ref="N265:O265" si="160">N322</f>
        <v>Líquido</v>
      </c>
      <c r="O265" s="208">
        <f t="shared" si="160"/>
        <v>107605.57816128116</v>
      </c>
      <c r="P265" s="349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9"/>
      <c r="AG265" s="69"/>
    </row>
    <row r="266" spans="1:34">
      <c r="A266" s="60"/>
      <c r="B266" s="125"/>
      <c r="C266" s="68"/>
      <c r="D266" s="348"/>
      <c r="E266" s="351" t="str">
        <f t="shared" ref="E266" si="161">E323</f>
        <v>Descuentos con aguinaldo</v>
      </c>
      <c r="F266" s="352"/>
      <c r="G266" s="349"/>
      <c r="H266" s="351" t="str">
        <f t="shared" si="158"/>
        <v>Descuentos con aguinaldo</v>
      </c>
      <c r="I266" s="352"/>
      <c r="J266" s="349"/>
      <c r="K266" s="351" t="str">
        <f t="shared" si="159"/>
        <v>Descuentos con aguinaldo</v>
      </c>
      <c r="L266" s="352"/>
      <c r="M266" s="349"/>
      <c r="N266" s="351" t="str">
        <f t="shared" ref="N266" si="162">N323</f>
        <v>Descuentos con aguinaldo</v>
      </c>
      <c r="O266" s="352"/>
      <c r="P266" s="349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9"/>
      <c r="AG266" s="69"/>
    </row>
    <row r="267" spans="1:34">
      <c r="A267" s="60"/>
      <c r="B267" s="125"/>
      <c r="C267" s="68"/>
      <c r="D267" s="348"/>
      <c r="E267" s="206">
        <f t="shared" ref="E267:F267" si="163">E324</f>
        <v>502</v>
      </c>
      <c r="F267" s="208">
        <f t="shared" si="163"/>
        <v>-89938.990701966322</v>
      </c>
      <c r="G267" s="349"/>
      <c r="H267" s="206">
        <f t="shared" ref="H267:I267" si="164">H324</f>
        <v>502</v>
      </c>
      <c r="I267" s="208">
        <f t="shared" si="164"/>
        <v>-81587.512993926604</v>
      </c>
      <c r="J267" s="349"/>
      <c r="K267" s="206">
        <f t="shared" ref="K267:L267" si="165">K324</f>
        <v>502</v>
      </c>
      <c r="L267" s="208">
        <f t="shared" si="165"/>
        <v>-69381.507112945445</v>
      </c>
      <c r="M267" s="349"/>
      <c r="N267" s="206">
        <f t="shared" ref="N267:O267" si="166">N324</f>
        <v>502</v>
      </c>
      <c r="O267" s="208">
        <f t="shared" si="166"/>
        <v>-64242.136215690247</v>
      </c>
      <c r="P267" s="349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9"/>
      <c r="AG267" s="69"/>
    </row>
    <row r="268" spans="1:34">
      <c r="A268" s="60"/>
      <c r="B268" s="125"/>
      <c r="C268" s="68"/>
      <c r="D268" s="348"/>
      <c r="E268" s="206">
        <f t="shared" ref="E268:F268" si="167">E326</f>
        <v>505</v>
      </c>
      <c r="F268" s="208">
        <f t="shared" si="167"/>
        <v>-16863.560756618685</v>
      </c>
      <c r="G268" s="349"/>
      <c r="H268" s="206">
        <f t="shared" ref="H268:I268" si="168">H326</f>
        <v>505</v>
      </c>
      <c r="I268" s="208">
        <f t="shared" si="168"/>
        <v>-15297.658686361237</v>
      </c>
      <c r="J268" s="349"/>
      <c r="K268" s="206">
        <f t="shared" ref="K268:L268" si="169">K326</f>
        <v>505</v>
      </c>
      <c r="L268" s="208">
        <f t="shared" si="169"/>
        <v>-13009.032583677272</v>
      </c>
      <c r="M268" s="349"/>
      <c r="N268" s="206">
        <f t="shared" ref="N268:O268" si="170">N326</f>
        <v>505</v>
      </c>
      <c r="O268" s="208">
        <f t="shared" si="170"/>
        <v>-12045.40054044192</v>
      </c>
      <c r="P268" s="349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9"/>
      <c r="AG268" s="69"/>
    </row>
    <row r="269" spans="1:34">
      <c r="A269" s="60"/>
      <c r="B269" s="125"/>
      <c r="C269" s="68"/>
      <c r="D269" s="348"/>
      <c r="E269" s="351"/>
      <c r="F269" s="352"/>
      <c r="G269" s="349"/>
      <c r="H269" s="351"/>
      <c r="I269" s="352"/>
      <c r="J269" s="349"/>
      <c r="K269" s="351"/>
      <c r="L269" s="352"/>
      <c r="M269" s="349"/>
      <c r="N269" s="351"/>
      <c r="O269" s="352"/>
      <c r="P269" s="349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9"/>
      <c r="AG269" s="69"/>
    </row>
    <row r="270" spans="1:34">
      <c r="A270" s="60"/>
      <c r="B270" s="125"/>
      <c r="C270" s="68"/>
      <c r="D270" s="348"/>
      <c r="E270" s="206" t="str">
        <f t="shared" ref="E270" si="171">E328</f>
        <v>Sueldo líquido incluyendo aguinaldo</v>
      </c>
      <c r="F270" s="208"/>
      <c r="G270" s="349"/>
      <c r="H270" s="206" t="str">
        <f t="shared" ref="H270" si="172">H328</f>
        <v>Sueldo líquido incluyendo aguinaldo</v>
      </c>
      <c r="I270" s="208"/>
      <c r="J270" s="349"/>
      <c r="K270" s="206" t="str">
        <f t="shared" ref="K270" si="173">K328</f>
        <v>Sueldo líquido incluyendo aguinaldo</v>
      </c>
      <c r="L270" s="208"/>
      <c r="M270" s="349"/>
      <c r="N270" s="206" t="str">
        <f t="shared" ref="N270" si="174">N328</f>
        <v>Sueldo líquido incluyendo aguinaldo</v>
      </c>
      <c r="O270" s="208"/>
      <c r="P270" s="349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9"/>
      <c r="AG270" s="69"/>
    </row>
    <row r="271" spans="1:34">
      <c r="A271" s="60"/>
      <c r="B271" s="125"/>
      <c r="C271" s="68"/>
      <c r="D271" s="348"/>
      <c r="E271" s="351"/>
      <c r="F271" s="353">
        <f t="shared" ref="F271" si="175">F329</f>
        <v>485688.1404287045</v>
      </c>
      <c r="G271" s="349"/>
      <c r="H271" s="351"/>
      <c r="I271" s="353">
        <f t="shared" ref="I271" si="176">I329</f>
        <v>443408.78453175351</v>
      </c>
      <c r="J271" s="349"/>
      <c r="K271" s="351"/>
      <c r="L271" s="353">
        <f t="shared" ref="L271" si="177">L329</f>
        <v>375443.87975928636</v>
      </c>
      <c r="M271" s="349"/>
      <c r="N271" s="351"/>
      <c r="O271" s="353">
        <f t="shared" ref="O271" si="178">O329</f>
        <v>349425.81459193188</v>
      </c>
      <c r="P271" s="349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9"/>
      <c r="AG271" s="69"/>
    </row>
    <row r="272" spans="1:34">
      <c r="A272" s="60"/>
      <c r="B272" s="125"/>
      <c r="C272" s="68"/>
      <c r="D272" s="348"/>
      <c r="E272" s="354" t="str">
        <f t="shared" ref="E272" si="179">E330</f>
        <v>Aguinaldo de bolsillo</v>
      </c>
      <c r="F272" s="208"/>
      <c r="G272" s="349"/>
      <c r="H272" s="354" t="str">
        <f t="shared" ref="H272" si="180">H330</f>
        <v>Aguinaldo de bolsillo</v>
      </c>
      <c r="I272" s="208"/>
      <c r="J272" s="349"/>
      <c r="K272" s="354" t="str">
        <f t="shared" ref="K272" si="181">K330</f>
        <v>Aguinaldo de bolsillo</v>
      </c>
      <c r="L272" s="208"/>
      <c r="M272" s="349"/>
      <c r="N272" s="354" t="str">
        <f t="shared" ref="N272" si="182">N330</f>
        <v>Aguinaldo de bolsillo</v>
      </c>
      <c r="O272" s="208"/>
      <c r="P272" s="349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9"/>
      <c r="AG272" s="69"/>
    </row>
    <row r="273" spans="1:34" ht="16.5" thickBot="1">
      <c r="A273" s="60"/>
      <c r="B273" s="125"/>
      <c r="C273" s="68"/>
      <c r="D273" s="348"/>
      <c r="E273" s="355"/>
      <c r="F273" s="356">
        <f t="shared" ref="F273" si="183">F331</f>
        <v>151772.04680956819</v>
      </c>
      <c r="G273" s="349"/>
      <c r="H273" s="355"/>
      <c r="I273" s="356">
        <f t="shared" ref="I273" si="184">I331</f>
        <v>137678.92817725119</v>
      </c>
      <c r="J273" s="349"/>
      <c r="K273" s="355"/>
      <c r="L273" s="356">
        <f t="shared" ref="L273" si="185">L331</f>
        <v>117081.29325309547</v>
      </c>
      <c r="M273" s="349"/>
      <c r="N273" s="355"/>
      <c r="O273" s="356">
        <f t="shared" ref="O273" si="186">O331</f>
        <v>108408.60486397732</v>
      </c>
      <c r="P273" s="349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9"/>
      <c r="AG273" s="69"/>
    </row>
    <row r="274" spans="1:34" ht="16.5" hidden="1" thickTop="1">
      <c r="A274" s="60"/>
      <c r="B274" s="125"/>
      <c r="C274" s="68"/>
      <c r="D274" s="348"/>
      <c r="E274" s="348"/>
      <c r="F274" s="348"/>
      <c r="G274" s="349"/>
      <c r="H274" s="348"/>
      <c r="I274" s="348"/>
      <c r="J274" s="349"/>
      <c r="K274" s="348"/>
      <c r="L274" s="348"/>
      <c r="M274" s="349"/>
      <c r="N274" s="348"/>
      <c r="O274" s="348"/>
      <c r="P274" s="349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9"/>
      <c r="AH274" s="69"/>
    </row>
    <row r="275" spans="1:34" ht="18" hidden="1">
      <c r="A275" s="60"/>
      <c r="B275" s="60"/>
      <c r="C275" s="60"/>
      <c r="D275" s="60"/>
      <c r="E275" s="40">
        <v>45047</v>
      </c>
      <c r="F275" s="693" t="s">
        <v>511</v>
      </c>
      <c r="G275" s="617"/>
      <c r="H275" s="40">
        <v>44986</v>
      </c>
      <c r="I275" s="693" t="s">
        <v>510</v>
      </c>
      <c r="J275" s="617"/>
      <c r="K275" s="40">
        <v>44958</v>
      </c>
      <c r="L275" s="744">
        <v>0.08</v>
      </c>
      <c r="M275" s="175"/>
      <c r="N275" s="40">
        <v>44896</v>
      </c>
      <c r="O275" s="693"/>
      <c r="P275" s="175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9"/>
      <c r="AH275" s="69"/>
    </row>
    <row r="276" spans="1:34" ht="12.75" hidden="1">
      <c r="A276" s="60"/>
      <c r="B276" s="357"/>
      <c r="C276" s="357"/>
      <c r="D276" s="357"/>
      <c r="E276" s="357"/>
      <c r="F276" s="357"/>
      <c r="G276" s="358"/>
      <c r="H276" s="357"/>
      <c r="I276" s="357"/>
      <c r="J276" s="358"/>
      <c r="K276" s="357"/>
      <c r="L276" s="357"/>
      <c r="M276" s="358"/>
      <c r="N276" s="357"/>
      <c r="O276" s="357"/>
      <c r="P276" s="358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9"/>
      <c r="AH276" s="69"/>
    </row>
    <row r="277" spans="1:34" ht="12.75" hidden="1">
      <c r="A277" s="60"/>
      <c r="B277" s="357"/>
      <c r="C277" s="357"/>
      <c r="D277" s="357"/>
      <c r="E277" s="357">
        <f>5141/15</f>
        <v>342.73333333333335</v>
      </c>
      <c r="F277" s="357"/>
      <c r="G277" s="358"/>
      <c r="H277" s="357">
        <f>5141/15</f>
        <v>342.73333333333335</v>
      </c>
      <c r="I277" s="357"/>
      <c r="J277" s="358"/>
      <c r="K277" s="357">
        <f>5141/15</f>
        <v>342.73333333333335</v>
      </c>
      <c r="L277" s="357"/>
      <c r="M277" s="358"/>
      <c r="N277" s="357">
        <f>5141/15</f>
        <v>342.73333333333335</v>
      </c>
      <c r="O277" s="357"/>
      <c r="P277" s="358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9"/>
      <c r="AH277" s="69"/>
    </row>
    <row r="278" spans="1:34" ht="12.75" hidden="1">
      <c r="A278" s="60"/>
      <c r="B278" s="357"/>
      <c r="C278" s="357"/>
      <c r="D278" s="357"/>
      <c r="E278" s="357">
        <f>5141*2</f>
        <v>10282</v>
      </c>
      <c r="F278" s="357"/>
      <c r="G278" s="358"/>
      <c r="H278" s="357">
        <f>5141*2</f>
        <v>10282</v>
      </c>
      <c r="I278" s="357"/>
      <c r="J278" s="358"/>
      <c r="K278" s="357">
        <f>5141*2</f>
        <v>10282</v>
      </c>
      <c r="L278" s="357"/>
      <c r="M278" s="358"/>
      <c r="N278" s="357">
        <f>5141*2</f>
        <v>10282</v>
      </c>
      <c r="O278" s="357"/>
      <c r="P278" s="358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9"/>
      <c r="AH278" s="69"/>
    </row>
    <row r="279" spans="1:34" ht="12.75" hidden="1">
      <c r="A279" s="60"/>
      <c r="B279" s="357"/>
      <c r="C279" s="357"/>
      <c r="D279" s="357"/>
      <c r="E279" s="357"/>
      <c r="F279" s="357"/>
      <c r="G279" s="358"/>
      <c r="H279" s="357"/>
      <c r="I279" s="357"/>
      <c r="J279" s="358"/>
      <c r="K279" s="357"/>
      <c r="L279" s="357"/>
      <c r="M279" s="358"/>
      <c r="N279" s="357"/>
      <c r="O279" s="357"/>
      <c r="P279" s="358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9"/>
      <c r="AH279" s="69"/>
    </row>
    <row r="280" spans="1:34" ht="12.75" hidden="1">
      <c r="A280" s="60"/>
      <c r="B280" s="357"/>
      <c r="C280" s="357"/>
      <c r="D280" s="638">
        <f>5353.23/30</f>
        <v>178.44099999999997</v>
      </c>
      <c r="E280" s="357"/>
      <c r="F280" s="357"/>
      <c r="G280" s="358"/>
      <c r="H280" s="357"/>
      <c r="I280" s="357"/>
      <c r="J280" s="358"/>
      <c r="K280" s="357"/>
      <c r="L280" s="357"/>
      <c r="M280" s="358"/>
      <c r="N280" s="357"/>
      <c r="O280" s="357"/>
      <c r="P280" s="358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9"/>
      <c r="AH280" s="69"/>
    </row>
    <row r="281" spans="1:34" ht="12.75" hidden="1">
      <c r="A281" s="60"/>
      <c r="B281" s="357"/>
      <c r="C281" s="357"/>
      <c r="D281" s="357"/>
      <c r="E281" s="357"/>
      <c r="F281" s="357"/>
      <c r="G281" s="358"/>
      <c r="H281" s="357"/>
      <c r="I281" s="357"/>
      <c r="J281" s="358"/>
      <c r="K281" s="357"/>
      <c r="L281" s="357"/>
      <c r="M281" s="358"/>
      <c r="N281" s="357"/>
      <c r="O281" s="357"/>
      <c r="P281" s="358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9"/>
      <c r="AH281" s="69"/>
    </row>
    <row r="282" spans="1:34" ht="27" hidden="1" thickBot="1">
      <c r="A282" s="60"/>
      <c r="B282" s="317"/>
      <c r="C282" s="60"/>
      <c r="D282" s="317"/>
      <c r="E282" s="40">
        <v>45047</v>
      </c>
      <c r="F282" s="693" t="s">
        <v>511</v>
      </c>
      <c r="G282" s="617"/>
      <c r="H282" s="40">
        <v>44986</v>
      </c>
      <c r="I282" s="693" t="s">
        <v>510</v>
      </c>
      <c r="J282" s="617"/>
      <c r="K282" s="40">
        <v>44958</v>
      </c>
      <c r="L282" s="744">
        <v>0.08</v>
      </c>
      <c r="M282" s="175"/>
      <c r="N282" s="40">
        <v>44896</v>
      </c>
      <c r="O282" s="693"/>
      <c r="P282" s="175"/>
      <c r="Q282" s="300"/>
      <c r="R282" s="300"/>
      <c r="S282" s="301"/>
      <c r="T282" s="302"/>
      <c r="U282" s="301"/>
      <c r="V282" s="301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</row>
    <row r="283" spans="1:34" ht="13.5" hidden="1" thickBot="1">
      <c r="A283" s="60"/>
      <c r="B283" s="215" t="s">
        <v>62</v>
      </c>
      <c r="C283" s="215" t="s">
        <v>63</v>
      </c>
      <c r="D283" s="215" t="s">
        <v>64</v>
      </c>
      <c r="E283" s="215"/>
      <c r="F283" s="215"/>
      <c r="G283" s="215"/>
      <c r="H283" s="215"/>
      <c r="I283" s="215"/>
      <c r="J283" s="215"/>
      <c r="K283" s="215"/>
      <c r="L283" s="215"/>
      <c r="M283" s="215"/>
      <c r="N283" s="215"/>
      <c r="O283" s="215"/>
      <c r="P283" s="215"/>
      <c r="Q283" s="69"/>
      <c r="R283" s="69"/>
      <c r="S283" s="60"/>
      <c r="T283" s="69"/>
      <c r="U283" s="69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</row>
    <row r="284" spans="1:34" hidden="1" thickBot="1">
      <c r="A284" s="60"/>
      <c r="B284" s="701">
        <v>4</v>
      </c>
      <c r="C284" s="359">
        <v>36</v>
      </c>
      <c r="D284" s="224" t="s">
        <v>118</v>
      </c>
      <c r="E284" s="266">
        <f>indiceene23*punbashormed*Aumento3</f>
        <v>125715.62324159998</v>
      </c>
      <c r="F284" s="224"/>
      <c r="G284" s="360"/>
      <c r="H284" s="266">
        <f>indiceene23*punbashormed*Aumento2</f>
        <v>114042.02965488</v>
      </c>
      <c r="I284" s="224"/>
      <c r="J284" s="360"/>
      <c r="K284" s="266">
        <f>indiceene23*punbashormed*Aumento1</f>
        <v>96980.623643519997</v>
      </c>
      <c r="L284" s="224"/>
      <c r="M284" s="360"/>
      <c r="N284" s="266">
        <f>indiceene23*punbashormed</f>
        <v>89796.873743999997</v>
      </c>
      <c r="O284" s="224"/>
      <c r="P284" s="360"/>
      <c r="Q284" s="222"/>
      <c r="R284" s="60"/>
      <c r="S284" s="60"/>
      <c r="T284" s="222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</row>
    <row r="285" spans="1:34" ht="13.5" hidden="1" thickBot="1">
      <c r="A285" s="60"/>
      <c r="B285" s="702">
        <v>10</v>
      </c>
      <c r="C285" s="253">
        <f>porantighormed</f>
        <v>1.2</v>
      </c>
      <c r="D285" s="217" t="s">
        <v>73</v>
      </c>
      <c r="E285" s="220">
        <f>E284*porantighormed</f>
        <v>150858.74788991996</v>
      </c>
      <c r="F285" s="217"/>
      <c r="G285" s="299"/>
      <c r="H285" s="220">
        <f>H284*porantighormed</f>
        <v>136850.435585856</v>
      </c>
      <c r="I285" s="217"/>
      <c r="J285" s="299"/>
      <c r="K285" s="220">
        <f>K284*porantighormed</f>
        <v>116376.748372224</v>
      </c>
      <c r="L285" s="217"/>
      <c r="M285" s="299"/>
      <c r="N285" s="220">
        <f>N284*porantighormed</f>
        <v>107756.24849279999</v>
      </c>
      <c r="O285" s="217"/>
      <c r="P285" s="299"/>
      <c r="Q285" s="222"/>
      <c r="R285" s="60"/>
      <c r="S285" s="60"/>
      <c r="T285" s="222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</row>
    <row r="286" spans="1:34" ht="16.5" hidden="1" thickBot="1">
      <c r="A286" s="60"/>
      <c r="B286" s="701">
        <v>6</v>
      </c>
      <c r="C286" s="261">
        <f>N286/619.1</f>
        <v>36</v>
      </c>
      <c r="D286" s="224" t="s">
        <v>72</v>
      </c>
      <c r="E286" s="266">
        <f>IF(canthor06med&gt;36,36*619.1,619.1*canthor06med)*Aumento3</f>
        <v>31202.639999999999</v>
      </c>
      <c r="F286" s="224"/>
      <c r="G286" s="360"/>
      <c r="H286" s="266">
        <f>IF(canthor06med&gt;36,36*619.1,619.1*canthor06med)*Aumento2</f>
        <v>28305.252000000004</v>
      </c>
      <c r="I286" s="224"/>
      <c r="J286" s="360"/>
      <c r="K286" s="266">
        <f>IF(canthor06med&gt;36,36*619.1,619.1*canthor06med)*Aumento1</f>
        <v>24070.608000000004</v>
      </c>
      <c r="L286" s="224"/>
      <c r="M286" s="360"/>
      <c r="N286" s="266">
        <f>IF(canthor06med&gt;36,36*619.1,619.1*canthor06med)</f>
        <v>22287.600000000002</v>
      </c>
      <c r="O286" s="224"/>
      <c r="P286" s="360"/>
      <c r="Q286" s="222"/>
      <c r="R286" s="60"/>
      <c r="S286" s="60"/>
      <c r="T286" s="222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</row>
    <row r="287" spans="1:34" ht="13.5" hidden="1" thickBot="1">
      <c r="A287" s="60"/>
      <c r="B287" s="702">
        <v>14</v>
      </c>
      <c r="C287" s="253">
        <v>7.0000000000000007E-2</v>
      </c>
      <c r="D287" s="217" t="s">
        <v>119</v>
      </c>
      <c r="E287" s="220">
        <f>E286*0.07</f>
        <v>2184.1848</v>
      </c>
      <c r="F287" s="217"/>
      <c r="G287" s="299"/>
      <c r="H287" s="220">
        <f>H286*0.07</f>
        <v>1981.3676400000004</v>
      </c>
      <c r="I287" s="217"/>
      <c r="J287" s="299"/>
      <c r="K287" s="220">
        <f>K286*0.07</f>
        <v>1684.9425600000004</v>
      </c>
      <c r="L287" s="217"/>
      <c r="M287" s="299"/>
      <c r="N287" s="220">
        <f>N286*0.07</f>
        <v>1560.1320000000003</v>
      </c>
      <c r="O287" s="217"/>
      <c r="P287" s="299"/>
      <c r="Q287" s="222"/>
      <c r="R287" s="60"/>
      <c r="S287" s="60"/>
      <c r="T287" s="222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</row>
    <row r="288" spans="1:34" ht="16.5" hidden="1" thickBot="1">
      <c r="A288" s="60"/>
      <c r="B288" s="701">
        <v>18</v>
      </c>
      <c r="C288" s="261">
        <v>18</v>
      </c>
      <c r="D288" s="266" t="s">
        <v>120</v>
      </c>
      <c r="E288" s="266">
        <f>IF(canthormed&gt;18,18*496.4672,496.4672*canthormed)*adichsmedia*Aumento3</f>
        <v>12510.973439999998</v>
      </c>
      <c r="F288" s="224"/>
      <c r="G288" s="361"/>
      <c r="H288" s="266">
        <f>IF(canthormed&gt;18,18*496.4672,496.4672*canthormed)*adichsmedia*Aumento2</f>
        <v>11349.240191999999</v>
      </c>
      <c r="I288" s="224"/>
      <c r="J288" s="361"/>
      <c r="K288" s="266">
        <f>IF(canthormed&gt;18,18*496.4672,496.4672*canthormed)*adichsmedia*Aumento1</f>
        <v>9651.3223679999992</v>
      </c>
      <c r="L288" s="224"/>
      <c r="M288" s="361"/>
      <c r="N288" s="266">
        <f>IF(canthormed&gt;18,18*496.4672,496.4672*canthormed)*adichsmedia</f>
        <v>8936.409599999999</v>
      </c>
      <c r="O288" s="224"/>
      <c r="P288" s="361"/>
      <c r="Q288" s="222"/>
      <c r="R288" s="60"/>
      <c r="S288" s="60"/>
      <c r="T288" s="222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</row>
    <row r="289" spans="1:34" ht="13.5" hidden="1" thickBot="1">
      <c r="A289" s="60"/>
      <c r="B289" s="701">
        <v>188</v>
      </c>
      <c r="C289" s="240">
        <v>7.0000000000000007E-2</v>
      </c>
      <c r="D289" s="224" t="s">
        <v>75</v>
      </c>
      <c r="E289" s="266">
        <f>(E284+E285+E288+E290+E292+E293)*0.07</f>
        <v>22331.895220006398</v>
      </c>
      <c r="F289" s="640"/>
      <c r="G289" s="360"/>
      <c r="H289" s="266">
        <f>(H284+H285+H288+H290+H292+H293)*0.07</f>
        <v>20258.219235291523</v>
      </c>
      <c r="I289" s="640"/>
      <c r="J289" s="360"/>
      <c r="K289" s="266">
        <f>(K284+K285+K288+K290+K292+K293)*0.07</f>
        <v>17227.462026862082</v>
      </c>
      <c r="L289" s="640"/>
      <c r="M289" s="360"/>
      <c r="N289" s="266">
        <f>(N284+N285+N288+N290+N292+N293)*0.07</f>
        <v>15951.353728576001</v>
      </c>
      <c r="O289" s="640"/>
      <c r="P289" s="360"/>
      <c r="Q289" s="222"/>
      <c r="R289" s="637"/>
      <c r="S289" s="60"/>
      <c r="T289" s="222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</row>
    <row r="290" spans="1:34" ht="16.5" hidden="1" thickBot="1">
      <c r="A290" s="60"/>
      <c r="B290" s="702">
        <v>78</v>
      </c>
      <c r="C290" s="526">
        <f>C233</f>
        <v>0</v>
      </c>
      <c r="D290" s="217" t="s">
        <v>78</v>
      </c>
      <c r="E290" s="220">
        <f>E284*porzonahsmed</f>
        <v>0</v>
      </c>
      <c r="F290" s="644">
        <f>15155/1200</f>
        <v>12.629166666666666</v>
      </c>
      <c r="G290" s="299"/>
      <c r="H290" s="220">
        <f>H284*porzonahsmed</f>
        <v>0</v>
      </c>
      <c r="I290" s="644">
        <f>15155/1200</f>
        <v>12.629166666666666</v>
      </c>
      <c r="J290" s="299"/>
      <c r="K290" s="220">
        <f>K284*porzonahsmed</f>
        <v>0</v>
      </c>
      <c r="L290" s="644">
        <f>15155/1200</f>
        <v>12.629166666666666</v>
      </c>
      <c r="M290" s="299"/>
      <c r="N290" s="220">
        <f>N284*porzonahsmed</f>
        <v>0</v>
      </c>
      <c r="O290" s="644">
        <f>15155/1200</f>
        <v>12.629166666666666</v>
      </c>
      <c r="P290" s="299"/>
      <c r="Q290" s="222"/>
      <c r="R290" s="60"/>
      <c r="S290" s="60"/>
      <c r="T290" s="222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</row>
    <row r="291" spans="1:34" ht="15" hidden="1" thickBot="1">
      <c r="A291" s="60"/>
      <c r="B291" s="701">
        <v>29</v>
      </c>
      <c r="C291" s="362">
        <f>cantkmhm</f>
        <v>0</v>
      </c>
      <c r="D291" s="224" t="s">
        <v>82</v>
      </c>
      <c r="E291" s="266">
        <f>IF(kmsemhsmed&lt;300,kmsemhsmed*14.3008*4,17161)*Aumento3</f>
        <v>0</v>
      </c>
      <c r="F291" s="655"/>
      <c r="G291" s="360"/>
      <c r="H291" s="266">
        <f>IF(kmsemhsmed&lt;300,kmsemhsmed*14.3008*4,17161)*Aumento2</f>
        <v>0</v>
      </c>
      <c r="I291" s="655"/>
      <c r="J291" s="360"/>
      <c r="K291" s="266">
        <f>IF(kmsemhsmed&lt;300,kmsemhsmed*14.3008*4,17161)*Aumento1</f>
        <v>0</v>
      </c>
      <c r="L291" s="655"/>
      <c r="M291" s="360"/>
      <c r="N291" s="266">
        <f>IF(kmsemhsmed&lt;300,kmsemhsmed*14.3008*4,17161)</f>
        <v>0</v>
      </c>
      <c r="O291" s="655"/>
      <c r="P291" s="360"/>
      <c r="Q291" s="222"/>
      <c r="R291" s="60"/>
      <c r="S291" s="60"/>
      <c r="T291" s="222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</row>
    <row r="292" spans="1:34" ht="16.5" hidden="1" thickBot="1">
      <c r="A292" s="60"/>
      <c r="B292" s="701">
        <v>117</v>
      </c>
      <c r="C292" s="263"/>
      <c r="D292" s="224" t="s">
        <v>81</v>
      </c>
      <c r="E292" s="266">
        <f>IF(canthormed*210.4013&gt;6312.04,6312.04,canthormed*210.4013)*Aumento3</f>
        <v>8836.8559999999998</v>
      </c>
      <c r="F292" s="224"/>
      <c r="G292" s="360"/>
      <c r="H292" s="266">
        <f>IF(canthormed*210.4013&gt;6312.04,6312.04,canthormed*210.4013)*Aumento2</f>
        <v>8016.2907999999998</v>
      </c>
      <c r="I292" s="224"/>
      <c r="J292" s="360"/>
      <c r="K292" s="266">
        <f>IF(canthormed*210.4013&gt;6312.04,6312.04,canthormed*210.4013)*Aumento1</f>
        <v>6817.0032000000001</v>
      </c>
      <c r="L292" s="224"/>
      <c r="M292" s="360"/>
      <c r="N292" s="266">
        <f>IF(canthormed*210.4013&gt;6312.04,6312.04,canthormed*210.4013)</f>
        <v>6312.04</v>
      </c>
      <c r="O292" s="224"/>
      <c r="P292" s="360"/>
      <c r="Q292" s="222"/>
      <c r="R292" s="60"/>
      <c r="S292" s="60"/>
      <c r="T292" s="222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</row>
    <row r="293" spans="1:34" ht="21" hidden="1" thickBot="1">
      <c r="A293" s="60"/>
      <c r="B293" s="703">
        <v>38</v>
      </c>
      <c r="C293" s="525">
        <f>C236</f>
        <v>15</v>
      </c>
      <c r="D293" s="364" t="s">
        <v>121</v>
      </c>
      <c r="E293" s="365">
        <f>IF($C293="",IF(canthormed&lt;15,1004.994*canthormed,15074.91),IF($C293&lt;15,1004.994*$C293,15074.91))*Aumento3</f>
        <v>21104.874</v>
      </c>
      <c r="F293" s="217"/>
      <c r="G293" s="366"/>
      <c r="H293" s="365">
        <f>IF($C293="",IF(canthormed&lt;15,1004.994*canthormed,15074.91),IF($C293&lt;15,1004.994*$C293,15074.91))*Aumento2</f>
        <v>19145.135699999999</v>
      </c>
      <c r="I293" s="217"/>
      <c r="J293" s="366"/>
      <c r="K293" s="365">
        <f>IF($C293="",IF(canthormed&lt;15,1004.994*canthormed,15074.91),IF($C293&lt;15,1004.994*$C293,15074.91))*Aumento1</f>
        <v>16280.902800000002</v>
      </c>
      <c r="L293" s="217"/>
      <c r="M293" s="366"/>
      <c r="N293" s="365">
        <f>IF($C293="",IF(canthormed&lt;15,1004.994*canthormed,15074.91),IF($C293&lt;15,1004.994*$C293,15074.91))</f>
        <v>15074.91</v>
      </c>
      <c r="O293" s="217"/>
      <c r="P293" s="366"/>
      <c r="Q293" s="262"/>
      <c r="R293" s="637">
        <f>15074.91/15</f>
        <v>1004.994</v>
      </c>
      <c r="S293" s="60"/>
      <c r="T293" s="262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</row>
    <row r="294" spans="1:34" ht="16.5" hidden="1" thickBot="1">
      <c r="A294" s="60"/>
      <c r="B294" s="702"/>
      <c r="C294" s="367"/>
      <c r="D294" s="293" t="s">
        <v>122</v>
      </c>
      <c r="E294" s="368">
        <f>SUM(E284:E293)</f>
        <v>374745.79459152633</v>
      </c>
      <c r="F294" s="217"/>
      <c r="G294" s="369"/>
      <c r="H294" s="368">
        <f>SUM(H284:H293)</f>
        <v>339947.97080802754</v>
      </c>
      <c r="I294" s="217"/>
      <c r="J294" s="369"/>
      <c r="K294" s="368">
        <f>SUM(K284:K293)</f>
        <v>289089.61297060602</v>
      </c>
      <c r="L294" s="217"/>
      <c r="M294" s="369"/>
      <c r="N294" s="368">
        <f>SUM(N284:N293)</f>
        <v>267675.567565376</v>
      </c>
      <c r="O294" s="217"/>
      <c r="P294" s="369"/>
      <c r="Q294" s="262"/>
      <c r="S294" s="60"/>
      <c r="T294" s="262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</row>
    <row r="295" spans="1:34" hidden="1" thickBot="1">
      <c r="A295" s="60"/>
      <c r="B295" s="704" t="s">
        <v>123</v>
      </c>
      <c r="C295" s="217"/>
      <c r="D295" s="217"/>
      <c r="E295" s="370">
        <f>E238</f>
        <v>0</v>
      </c>
      <c r="F295" s="371"/>
      <c r="G295" s="372"/>
      <c r="H295" s="370">
        <f>H238</f>
        <v>0</v>
      </c>
      <c r="I295" s="371"/>
      <c r="J295" s="372"/>
      <c r="K295" s="370">
        <f>K238</f>
        <v>0</v>
      </c>
      <c r="L295" s="371"/>
      <c r="M295" s="372"/>
      <c r="N295" s="370">
        <f>N238</f>
        <v>0</v>
      </c>
      <c r="O295" s="371"/>
      <c r="P295" s="372"/>
      <c r="Q295" s="262"/>
      <c r="R295" s="60"/>
      <c r="S295" s="60"/>
      <c r="T295" s="262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</row>
    <row r="296" spans="1:34" ht="16.5" hidden="1" thickBot="1">
      <c r="A296" s="60"/>
      <c r="B296" s="702">
        <v>84</v>
      </c>
      <c r="C296" s="373">
        <f>N296/490</f>
        <v>30</v>
      </c>
      <c r="D296" s="217" t="s">
        <v>86</v>
      </c>
      <c r="E296" s="220">
        <f>IF(canthorincmed*695.7333&gt;20872,20872,canthorincmed*695.7333)</f>
        <v>20872</v>
      </c>
      <c r="F296" s="253"/>
      <c r="G296" s="299"/>
      <c r="H296" s="220">
        <f>IF(canthorincmed*695.7333&gt;20872,20872,canthorincmed*698.7333)</f>
        <v>20872</v>
      </c>
      <c r="I296" s="253"/>
      <c r="J296" s="299"/>
      <c r="K296" s="220">
        <f>IF(canthorincmed*490&gt;14700,14700,canthorincmed*490)</f>
        <v>14700</v>
      </c>
      <c r="L296" s="253"/>
      <c r="M296" s="299"/>
      <c r="N296" s="220">
        <f>IF(canthorincmed*490&gt;14700,14700,canthorincmed*490)</f>
        <v>14700</v>
      </c>
      <c r="O296" s="253"/>
      <c r="P296" s="299"/>
      <c r="Q296" s="222"/>
      <c r="R296" s="60"/>
      <c r="S296" s="60"/>
      <c r="T296" s="222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</row>
    <row r="297" spans="1:34" ht="16.5" hidden="1" thickBot="1">
      <c r="A297" s="60"/>
      <c r="B297" s="702">
        <v>54</v>
      </c>
      <c r="C297" s="373">
        <f>N297/150</f>
        <v>30</v>
      </c>
      <c r="D297" s="217" t="s">
        <v>88</v>
      </c>
      <c r="E297" s="220">
        <f>IF(canthorincmed*150&gt;4500,4500,canthorincmed*150)</f>
        <v>4500</v>
      </c>
      <c r="F297" s="217"/>
      <c r="G297" s="299"/>
      <c r="H297" s="220">
        <f>IF(canthorincmed*150&gt;4500,4500,canthorincmed*150)</f>
        <v>4500</v>
      </c>
      <c r="I297" s="217"/>
      <c r="J297" s="299"/>
      <c r="K297" s="220">
        <f>IF(canthorincmed*150&gt;4500,4500,canthorincmed*150)</f>
        <v>4500</v>
      </c>
      <c r="L297" s="217"/>
      <c r="M297" s="299"/>
      <c r="N297" s="220">
        <f>IF(canthorincmed*150&gt;4500,4500,canthorincmed*150)</f>
        <v>4500</v>
      </c>
      <c r="O297" s="217"/>
      <c r="P297" s="299"/>
      <c r="Q297" s="222"/>
      <c r="R297" s="60"/>
      <c r="S297" s="60"/>
      <c r="T297" s="222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</row>
    <row r="298" spans="1:34" ht="16.5" hidden="1" thickBot="1">
      <c r="A298" s="60"/>
      <c r="B298" s="704">
        <v>64</v>
      </c>
      <c r="C298" s="373">
        <f>N298/166.66667</f>
        <v>29.999999400000011</v>
      </c>
      <c r="D298" s="217" t="s">
        <v>507</v>
      </c>
      <c r="E298" s="220">
        <f>IF(canthorincmed*166.6667&gt;5000,5000,canthorincmed*166.66667)</f>
        <v>5000</v>
      </c>
      <c r="F298" s="217"/>
      <c r="G298" s="299"/>
      <c r="H298" s="220">
        <f>IF(canthorincmed*166.6667&gt;5000,5000,canthorincmed*166.66667)</f>
        <v>5000</v>
      </c>
      <c r="I298" s="217"/>
      <c r="J298" s="299"/>
      <c r="K298" s="220">
        <f>IF(canthorincmed*166.6667&gt;5000,5000,canthorincmed*166.66667)</f>
        <v>5000</v>
      </c>
      <c r="L298" s="217"/>
      <c r="M298" s="299"/>
      <c r="N298" s="220">
        <f>IF(canthorincmed*166.6667&gt;5000,5000,canthorincmed*166.66667)</f>
        <v>5000</v>
      </c>
      <c r="O298" s="217"/>
      <c r="P298" s="299"/>
      <c r="Q298" s="262"/>
      <c r="R298" s="60"/>
      <c r="S298" s="60"/>
      <c r="T298" s="262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</row>
    <row r="299" spans="1:34" hidden="1" thickBot="1">
      <c r="A299" s="60"/>
      <c r="B299" s="290"/>
      <c r="C299" s="217"/>
      <c r="D299" s="217"/>
      <c r="E299" s="272"/>
      <c r="F299" s="217"/>
      <c r="G299" s="299"/>
      <c r="H299" s="272"/>
      <c r="I299" s="217"/>
      <c r="J299" s="299"/>
      <c r="K299" s="272"/>
      <c r="L299" s="217"/>
      <c r="M299" s="299"/>
      <c r="N299" s="272"/>
      <c r="O299" s="217"/>
      <c r="P299" s="299"/>
      <c r="Q299" s="262"/>
      <c r="R299" s="60"/>
      <c r="S299" s="60"/>
      <c r="T299" s="262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</row>
    <row r="300" spans="1:34" ht="16.5" hidden="1" thickBot="1">
      <c r="A300" s="60"/>
      <c r="B300" s="240"/>
      <c r="C300" s="263" t="s">
        <v>124</v>
      </c>
      <c r="D300" s="263"/>
      <c r="E300" s="374">
        <f>SUM(E294:E298)</f>
        <v>405117.79459152633</v>
      </c>
      <c r="F300" s="224"/>
      <c r="G300" s="375"/>
      <c r="H300" s="374">
        <f>SUM(H294:H298)</f>
        <v>370319.97080802754</v>
      </c>
      <c r="I300" s="224"/>
      <c r="J300" s="375"/>
      <c r="K300" s="374">
        <f>SUM(K294:K298)</f>
        <v>313289.61297060602</v>
      </c>
      <c r="L300" s="224"/>
      <c r="M300" s="375"/>
      <c r="N300" s="374">
        <f>SUM(N294:N298)</f>
        <v>291875.567565376</v>
      </c>
      <c r="O300" s="224"/>
      <c r="P300" s="375"/>
      <c r="Q300" s="260"/>
      <c r="R300" s="60"/>
      <c r="S300" s="60"/>
      <c r="T300" s="2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</row>
    <row r="301" spans="1:34" ht="21" hidden="1" thickBot="1">
      <c r="A301" s="60"/>
      <c r="B301" s="253">
        <v>440</v>
      </c>
      <c r="C301" s="215"/>
      <c r="D301" s="217" t="s">
        <v>90</v>
      </c>
      <c r="E301" s="363">
        <f>E244</f>
        <v>0</v>
      </c>
      <c r="F301" s="253">
        <f>-E301</f>
        <v>0</v>
      </c>
      <c r="G301" s="299"/>
      <c r="H301" s="363">
        <f>H244</f>
        <v>0</v>
      </c>
      <c r="I301" s="253">
        <f>-H301</f>
        <v>0</v>
      </c>
      <c r="J301" s="299"/>
      <c r="K301" s="363">
        <f>K244</f>
        <v>0</v>
      </c>
      <c r="L301" s="253">
        <f>-K301</f>
        <v>0</v>
      </c>
      <c r="M301" s="299"/>
      <c r="N301" s="363">
        <f>N244</f>
        <v>0</v>
      </c>
      <c r="O301" s="253">
        <f>-N301</f>
        <v>0</v>
      </c>
      <c r="P301" s="299"/>
      <c r="Q301" s="262"/>
      <c r="R301" s="95"/>
      <c r="S301" s="60"/>
      <c r="T301" s="262"/>
      <c r="U301" s="95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</row>
    <row r="302" spans="1:34" ht="13.5" hidden="1" thickBot="1">
      <c r="A302" s="60"/>
      <c r="B302" s="240">
        <v>502</v>
      </c>
      <c r="C302" s="568">
        <v>0.16</v>
      </c>
      <c r="D302" s="266" t="s">
        <v>125</v>
      </c>
      <c r="E302" s="266"/>
      <c r="F302" s="240">
        <f>-(E284+E285+E289+E290+E286+E287+E288+F301+E292+E293)*0.16</f>
        <v>-59959.327134644212</v>
      </c>
      <c r="G302" s="361"/>
      <c r="H302" s="266"/>
      <c r="I302" s="240">
        <f>-(H284+H285+H289+H290+H286+H287+H288+I301+H292+H293)*0.16</f>
        <v>-54391.675329284401</v>
      </c>
      <c r="J302" s="361"/>
      <c r="K302" s="266"/>
      <c r="L302" s="240">
        <f>-(K284+K285+K289+K290+K286+K287+K288+L301+K292+K293)*0.16</f>
        <v>-46254.338075296961</v>
      </c>
      <c r="M302" s="361"/>
      <c r="N302" s="266"/>
      <c r="O302" s="240">
        <f>-(N284+N285+N289+N290+N286+N287+N288+O301+N292+N293)*0.16</f>
        <v>-42828.090810460162</v>
      </c>
      <c r="P302" s="361"/>
      <c r="Q302" s="222"/>
      <c r="R302" s="60"/>
      <c r="S302" s="60"/>
      <c r="T302" s="222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</row>
    <row r="303" spans="1:34" ht="13.5" hidden="1" thickBot="1">
      <c r="A303" s="60"/>
      <c r="B303" s="240">
        <v>505</v>
      </c>
      <c r="C303" s="569">
        <v>0.03</v>
      </c>
      <c r="D303" s="266" t="s">
        <v>126</v>
      </c>
      <c r="E303" s="266"/>
      <c r="F303" s="240">
        <f>-(E284+E285+E289+E290+E286+E287+E288+F301+E292+E293)*0.03</f>
        <v>-11242.373837745788</v>
      </c>
      <c r="G303" s="361"/>
      <c r="H303" s="266"/>
      <c r="I303" s="240">
        <f>-(H284+H285+H289+H290+H286+H287+H288+I301+H292+H293)*0.03</f>
        <v>-10198.439124240824</v>
      </c>
      <c r="J303" s="361"/>
      <c r="K303" s="266"/>
      <c r="L303" s="240">
        <f>-(K284+K285+K289+K290+K286+K287+K288+L301+K292+K293)*0.03</f>
        <v>-8672.6883891181806</v>
      </c>
      <c r="M303" s="361"/>
      <c r="N303" s="266"/>
      <c r="O303" s="240">
        <f>-(N284+N285+N289+N290+N286+N287+N288+O301+N292+N293)*0.03</f>
        <v>-8030.26702696128</v>
      </c>
      <c r="P303" s="361"/>
      <c r="Q303" s="222"/>
      <c r="R303" s="60"/>
      <c r="S303" s="60"/>
      <c r="T303" s="222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</row>
    <row r="304" spans="1:34" ht="16.5" hidden="1" thickBot="1">
      <c r="A304" s="60"/>
      <c r="B304" s="216">
        <v>332</v>
      </c>
      <c r="C304" s="526">
        <f>C247</f>
        <v>0</v>
      </c>
      <c r="D304" s="220" t="s">
        <v>94</v>
      </c>
      <c r="E304" s="220"/>
      <c r="F304" s="253">
        <f>-(E284+E285+E289+E286+E290+E288+E287+E288+F301+E292+E293)*$C304</f>
        <v>0</v>
      </c>
      <c r="G304" s="376"/>
      <c r="H304" s="220"/>
      <c r="I304" s="253">
        <f>-(H284+H285+H289+H286+H290+H288+H287+H288+I301+H292+H293)*$C304</f>
        <v>0</v>
      </c>
      <c r="J304" s="376"/>
      <c r="K304" s="220"/>
      <c r="L304" s="253">
        <f>-(K284+K285+K289+K286+K290+K288+K287+K288+L301+K292+K293)*$C304</f>
        <v>0</v>
      </c>
      <c r="M304" s="376"/>
      <c r="N304" s="220"/>
      <c r="O304" s="253">
        <f>-(N284+N285+N289+N286+N290+N288+N287+N288+O301+N292+N293)*$C304</f>
        <v>0</v>
      </c>
      <c r="P304" s="376"/>
      <c r="Q304" s="222"/>
      <c r="R304" s="60"/>
      <c r="S304" s="60"/>
      <c r="T304" s="222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</row>
    <row r="305" spans="1:34" ht="16.5" hidden="1" thickBot="1">
      <c r="A305" s="60"/>
      <c r="B305" s="223" t="s">
        <v>95</v>
      </c>
      <c r="C305" s="526">
        <f>C248</f>
        <v>0</v>
      </c>
      <c r="D305" s="224"/>
      <c r="E305" s="224"/>
      <c r="F305" s="240">
        <f>-(E284+E285+E289+E290+E286+E287+E288+F301+E292)*$C305</f>
        <v>0</v>
      </c>
      <c r="G305" s="360"/>
      <c r="H305" s="224"/>
      <c r="I305" s="240">
        <f>-(H284+H285+H289+H290+H286+H287+H288+I301+H292)*$C305</f>
        <v>0</v>
      </c>
      <c r="J305" s="360"/>
      <c r="K305" s="224"/>
      <c r="L305" s="240">
        <f>-(K284+K285+K289+K290+K286+K287+K288+L301+K292)*$C305</f>
        <v>0</v>
      </c>
      <c r="M305" s="360"/>
      <c r="N305" s="224"/>
      <c r="O305" s="240">
        <f>-(N284+N285+N289+N290+N286+N287+N288+O301+N292)*$C305</f>
        <v>0</v>
      </c>
      <c r="P305" s="3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</row>
    <row r="306" spans="1:34" ht="16.5" hidden="1" thickBot="1">
      <c r="A306" s="60"/>
      <c r="B306" s="215"/>
      <c r="C306" s="215"/>
      <c r="D306" s="277" t="s">
        <v>96</v>
      </c>
      <c r="E306" s="215"/>
      <c r="F306" s="290">
        <f>SUM(F302:F305)</f>
        <v>-71201.700972389997</v>
      </c>
      <c r="G306" s="377"/>
      <c r="H306" s="215"/>
      <c r="I306" s="290">
        <f>SUM(I302:I305)</f>
        <v>-64590.114453525224</v>
      </c>
      <c r="J306" s="377"/>
      <c r="K306" s="215"/>
      <c r="L306" s="290">
        <f>SUM(L302:L305)</f>
        <v>-54927.026464415139</v>
      </c>
      <c r="M306" s="377"/>
      <c r="N306" s="215"/>
      <c r="O306" s="290">
        <f>SUM(O302:O305)</f>
        <v>-50858.357837421441</v>
      </c>
      <c r="P306" s="377"/>
      <c r="Q306" s="69"/>
      <c r="R306" s="69"/>
      <c r="S306" s="60"/>
      <c r="T306" s="69"/>
      <c r="U306" s="69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</row>
    <row r="307" spans="1:34" ht="13.5" hidden="1" thickBot="1">
      <c r="A307" s="60"/>
      <c r="B307" s="253"/>
      <c r="C307" s="217"/>
      <c r="D307" s="217"/>
      <c r="E307" s="217"/>
      <c r="F307" s="217"/>
      <c r="G307" s="299"/>
      <c r="H307" s="217"/>
      <c r="I307" s="217"/>
      <c r="J307" s="299"/>
      <c r="K307" s="217"/>
      <c r="L307" s="217"/>
      <c r="M307" s="299"/>
      <c r="N307" s="217"/>
      <c r="O307" s="217"/>
      <c r="P307" s="299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</row>
    <row r="308" spans="1:34" ht="24" hidden="1" thickBot="1">
      <c r="A308" s="60"/>
      <c r="B308" s="253"/>
      <c r="C308" s="217"/>
      <c r="D308" s="277"/>
      <c r="E308" s="277" t="s">
        <v>97</v>
      </c>
      <c r="F308" s="378">
        <f>E300+F306</f>
        <v>333916.09361913631</v>
      </c>
      <c r="G308" s="377"/>
      <c r="H308" s="277" t="s">
        <v>97</v>
      </c>
      <c r="I308" s="378">
        <f>H300+I306</f>
        <v>305729.85635450232</v>
      </c>
      <c r="J308" s="377"/>
      <c r="K308" s="277" t="s">
        <v>97</v>
      </c>
      <c r="L308" s="378">
        <f>K300+L306</f>
        <v>258362.58650619088</v>
      </c>
      <c r="M308" s="377"/>
      <c r="N308" s="277" t="s">
        <v>97</v>
      </c>
      <c r="O308" s="378">
        <f>N300+O306</f>
        <v>241017.20972795456</v>
      </c>
      <c r="P308" s="377"/>
      <c r="Q308" s="60"/>
      <c r="R308" s="68"/>
      <c r="S308" s="379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</row>
    <row r="309" spans="1:34" ht="24" hidden="1" thickBot="1">
      <c r="A309" s="60"/>
      <c r="B309" s="253"/>
      <c r="C309" s="217"/>
      <c r="D309" s="277"/>
      <c r="E309" s="277"/>
      <c r="F309" s="380"/>
      <c r="G309" s="377"/>
      <c r="H309" s="277"/>
      <c r="I309" s="380"/>
      <c r="J309" s="377"/>
      <c r="K309" s="277"/>
      <c r="L309" s="380"/>
      <c r="M309" s="377"/>
      <c r="N309" s="277"/>
      <c r="O309" s="380"/>
      <c r="P309" s="377"/>
      <c r="Q309" s="68"/>
      <c r="R309" s="379"/>
      <c r="S309" s="60"/>
      <c r="T309" s="68"/>
      <c r="U309" s="379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</row>
    <row r="310" spans="1:34" ht="18.75" hidden="1" thickBot="1">
      <c r="A310" s="60"/>
      <c r="B310" s="216"/>
      <c r="C310" s="277"/>
      <c r="D310" s="381"/>
      <c r="E310" s="715" t="s">
        <v>101</v>
      </c>
      <c r="F310" s="281">
        <f>F308-I308</f>
        <v>28186.237264633994</v>
      </c>
      <c r="G310" s="382"/>
      <c r="H310" s="715" t="s">
        <v>101</v>
      </c>
      <c r="I310" s="281">
        <f>I308-L308</f>
        <v>47367.269848311436</v>
      </c>
      <c r="J310" s="382"/>
      <c r="K310" s="715" t="s">
        <v>101</v>
      </c>
      <c r="L310" s="281">
        <f>L308-O308</f>
        <v>17345.376778236328</v>
      </c>
      <c r="M310" s="382"/>
      <c r="N310" s="715" t="s">
        <v>101</v>
      </c>
      <c r="O310" s="281"/>
      <c r="P310" s="382"/>
      <c r="Q310" s="72"/>
      <c r="R310" s="284"/>
      <c r="S310" s="383"/>
      <c r="T310" s="72"/>
      <c r="U310" s="284"/>
      <c r="V310" s="383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</row>
    <row r="311" spans="1:34" ht="18.75" hidden="1" thickBot="1">
      <c r="A311" s="60"/>
      <c r="B311" s="216"/>
      <c r="C311" s="277"/>
      <c r="D311" s="381"/>
      <c r="E311" s="715" t="s">
        <v>102</v>
      </c>
      <c r="F311" s="509">
        <f>F310/I308</f>
        <v>9.219327677291439E-2</v>
      </c>
      <c r="G311" s="382"/>
      <c r="H311" s="715" t="s">
        <v>102</v>
      </c>
      <c r="I311" s="509">
        <f>I310/L308</f>
        <v>0.18333641294141642</v>
      </c>
      <c r="J311" s="382"/>
      <c r="K311" s="715" t="s">
        <v>102</v>
      </c>
      <c r="L311" s="509">
        <f>L310/O308</f>
        <v>7.1967378586013528E-2</v>
      </c>
      <c r="M311" s="382"/>
      <c r="N311" s="715" t="s">
        <v>102</v>
      </c>
      <c r="O311" s="509"/>
      <c r="P311" s="382"/>
      <c r="Q311" s="72"/>
      <c r="R311" s="284"/>
      <c r="S311" s="383"/>
      <c r="T311" s="72"/>
      <c r="U311" s="284"/>
      <c r="V311" s="383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</row>
    <row r="312" spans="1:34" ht="18.75" hidden="1" thickBot="1">
      <c r="A312" s="60"/>
      <c r="B312" s="216"/>
      <c r="C312" s="277"/>
      <c r="D312" s="381"/>
      <c r="E312" s="217"/>
      <c r="F312" s="217"/>
      <c r="G312" s="382"/>
      <c r="H312" s="217"/>
      <c r="I312" s="217"/>
      <c r="J312" s="382"/>
      <c r="K312" s="217"/>
      <c r="L312" s="217"/>
      <c r="M312" s="382"/>
      <c r="N312" s="217"/>
      <c r="O312" s="217"/>
      <c r="P312" s="382"/>
      <c r="Q312" s="72"/>
      <c r="R312" s="284"/>
      <c r="S312" s="383"/>
      <c r="T312" s="72"/>
      <c r="U312" s="284"/>
      <c r="V312" s="383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</row>
    <row r="313" spans="1:34" ht="18.75" hidden="1" thickBot="1">
      <c r="A313" s="60"/>
      <c r="B313" s="216"/>
      <c r="C313" s="277"/>
      <c r="D313" s="381"/>
      <c r="E313" s="716" t="s">
        <v>485</v>
      </c>
      <c r="F313" s="286">
        <f>F308-$O308</f>
        <v>92898.883891181758</v>
      </c>
      <c r="G313" s="264"/>
      <c r="H313" s="716" t="s">
        <v>485</v>
      </c>
      <c r="I313" s="286">
        <f>I308-$O308</f>
        <v>64712.646626547765</v>
      </c>
      <c r="J313" s="264"/>
      <c r="K313" s="716" t="s">
        <v>485</v>
      </c>
      <c r="L313" s="286">
        <f>L308-$O308</f>
        <v>17345.376778236328</v>
      </c>
      <c r="M313" s="264"/>
      <c r="N313" s="716" t="s">
        <v>485</v>
      </c>
      <c r="O313" s="286"/>
      <c r="P313" s="264"/>
      <c r="Q313" s="72"/>
      <c r="R313" s="284"/>
      <c r="S313" s="383"/>
      <c r="T313" s="72"/>
      <c r="U313" s="284"/>
      <c r="V313" s="383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</row>
    <row r="314" spans="1:34" ht="18.75" hidden="1" thickBot="1">
      <c r="A314" s="60"/>
      <c r="B314" s="216"/>
      <c r="C314" s="277"/>
      <c r="D314" s="381"/>
      <c r="E314" s="716" t="s">
        <v>486</v>
      </c>
      <c r="F314" s="508">
        <f>F313/$O308</f>
        <v>0.38544502276845838</v>
      </c>
      <c r="G314" s="264"/>
      <c r="H314" s="716" t="s">
        <v>486</v>
      </c>
      <c r="I314" s="508">
        <f>I313/$O308</f>
        <v>0.2684980325661866</v>
      </c>
      <c r="J314" s="264"/>
      <c r="K314" s="716" t="s">
        <v>486</v>
      </c>
      <c r="L314" s="508">
        <f>L313/$O308</f>
        <v>7.1967378586013528E-2</v>
      </c>
      <c r="M314" s="264"/>
      <c r="N314" s="716" t="s">
        <v>486</v>
      </c>
      <c r="O314" s="508"/>
      <c r="P314" s="264"/>
      <c r="Q314" s="72"/>
      <c r="R314" s="284"/>
      <c r="S314" s="383"/>
      <c r="T314" s="72"/>
      <c r="U314" s="284"/>
      <c r="V314" s="383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</row>
    <row r="315" spans="1:34" ht="18.75" hidden="1" thickBot="1">
      <c r="A315" s="60"/>
      <c r="B315" s="216"/>
      <c r="C315" s="277"/>
      <c r="D315" s="381"/>
      <c r="E315" s="217"/>
      <c r="F315" s="217"/>
      <c r="G315" s="382"/>
      <c r="H315" s="217"/>
      <c r="I315" s="217"/>
      <c r="J315" s="382"/>
      <c r="K315" s="217"/>
      <c r="L315" s="217"/>
      <c r="M315" s="382"/>
      <c r="N315" s="217"/>
      <c r="O315" s="217"/>
      <c r="P315" s="382"/>
      <c r="Q315" s="72"/>
      <c r="R315" s="284"/>
      <c r="S315" s="383"/>
      <c r="T315" s="72"/>
      <c r="U315" s="284"/>
      <c r="V315" s="383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</row>
    <row r="316" spans="1:34" ht="18.75" hidden="1" thickBot="1">
      <c r="A316" s="60"/>
      <c r="B316" s="216"/>
      <c r="C316" s="277"/>
      <c r="D316" s="381"/>
      <c r="E316" s="202" t="s">
        <v>503</v>
      </c>
      <c r="F316" s="286">
        <f>(F308-E296-E297-E298)-($O308-$N296-$N297-$N298)</f>
        <v>86726.883891181758</v>
      </c>
      <c r="G316" s="264"/>
      <c r="H316" s="202" t="s">
        <v>503</v>
      </c>
      <c r="I316" s="286">
        <f>(I308-H296-H297-H298)-($O308-$N296-$N297-$N298)</f>
        <v>58540.646626547765</v>
      </c>
      <c r="J316" s="264"/>
      <c r="K316" s="202" t="s">
        <v>503</v>
      </c>
      <c r="L316" s="286">
        <f>(L308-K296-K297-K298)-($O308-$N296-$N297-$N298)</f>
        <v>17345.376778236328</v>
      </c>
      <c r="M316" s="264"/>
      <c r="N316" s="202" t="s">
        <v>503</v>
      </c>
      <c r="O316" s="286"/>
      <c r="P316" s="264"/>
      <c r="Q316" s="72"/>
      <c r="R316" s="284"/>
      <c r="S316" s="383"/>
      <c r="T316" s="72"/>
      <c r="U316" s="284"/>
      <c r="V316" s="383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</row>
    <row r="317" spans="1:34" ht="18.75" hidden="1" thickBot="1">
      <c r="A317" s="60"/>
      <c r="B317" s="216"/>
      <c r="C317" s="277"/>
      <c r="D317" s="381"/>
      <c r="E317" s="203" t="s">
        <v>504</v>
      </c>
      <c r="F317" s="508">
        <f>F316/($O308-$N296-$N297-$N298)</f>
        <v>0.39999999999999969</v>
      </c>
      <c r="G317" s="264"/>
      <c r="H317" s="203" t="s">
        <v>504</v>
      </c>
      <c r="I317" s="508">
        <f>I316/($O308-$N296-$N297-$N298)</f>
        <v>0.27000000000000018</v>
      </c>
      <c r="J317" s="264"/>
      <c r="K317" s="203" t="s">
        <v>504</v>
      </c>
      <c r="L317" s="508">
        <f>L316/($O308-$N296-$N297-$N298)</f>
        <v>7.9999999999999835E-2</v>
      </c>
      <c r="M317" s="264"/>
      <c r="N317" s="203" t="s">
        <v>504</v>
      </c>
      <c r="O317" s="508"/>
      <c r="P317" s="264"/>
      <c r="Q317" s="72"/>
      <c r="R317" s="284"/>
      <c r="S317" s="383"/>
      <c r="T317" s="72"/>
      <c r="U317" s="284"/>
      <c r="V317" s="383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</row>
    <row r="318" spans="1:34" ht="18.75" hidden="1" thickBot="1">
      <c r="A318" s="60"/>
      <c r="B318" s="216"/>
      <c r="C318" s="277"/>
      <c r="D318" s="381"/>
      <c r="E318" s="293"/>
      <c r="F318" s="384"/>
      <c r="G318" s="382"/>
      <c r="H318" s="293"/>
      <c r="I318" s="384"/>
      <c r="J318" s="382"/>
      <c r="K318" s="293"/>
      <c r="L318" s="384"/>
      <c r="M318" s="382"/>
      <c r="N318" s="293"/>
      <c r="O318" s="384"/>
      <c r="P318" s="382"/>
      <c r="Q318" s="72"/>
      <c r="R318" s="284"/>
      <c r="S318" s="383"/>
      <c r="T318" s="72"/>
      <c r="U318" s="284"/>
      <c r="V318" s="383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</row>
    <row r="319" spans="1:34" ht="18.75" hidden="1" thickBot="1">
      <c r="A319" s="60"/>
      <c r="B319" s="216"/>
      <c r="C319" s="277"/>
      <c r="D319" s="381"/>
      <c r="E319" s="277" t="s">
        <v>103</v>
      </c>
      <c r="F319" s="280"/>
      <c r="G319" s="382"/>
      <c r="H319" s="277" t="s">
        <v>103</v>
      </c>
      <c r="I319" s="280"/>
      <c r="J319" s="382"/>
      <c r="K319" s="277" t="s">
        <v>103</v>
      </c>
      <c r="L319" s="280"/>
      <c r="M319" s="382"/>
      <c r="N319" s="277" t="s">
        <v>103</v>
      </c>
      <c r="O319" s="280"/>
      <c r="P319" s="382"/>
      <c r="Q319" s="72"/>
      <c r="R319" s="284"/>
      <c r="S319" s="383"/>
      <c r="T319" s="72"/>
      <c r="U319" s="284"/>
      <c r="V319" s="383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</row>
    <row r="320" spans="1:34" ht="18.75" hidden="1" thickBot="1">
      <c r="A320" s="60"/>
      <c r="B320" s="216"/>
      <c r="C320" s="277"/>
      <c r="D320" s="381"/>
      <c r="E320" s="215" t="s">
        <v>104</v>
      </c>
      <c r="F320" s="287">
        <f>(E284+E285+E286+E287+E288+E289+E290+E292+E293)*0.5</f>
        <v>187372.89729576316</v>
      </c>
      <c r="G320" s="382"/>
      <c r="H320" s="215" t="s">
        <v>104</v>
      </c>
      <c r="I320" s="287">
        <f>(H284+H285+H286+H287+H288+H289+H290+H292+H293)*0.5</f>
        <v>169973.98540401377</v>
      </c>
      <c r="J320" s="382"/>
      <c r="K320" s="215" t="s">
        <v>104</v>
      </c>
      <c r="L320" s="287">
        <f>(K284+K285+K286+K287+K288+K289+K290+K292+K293)*0.5</f>
        <v>144544.80648530301</v>
      </c>
      <c r="M320" s="382"/>
      <c r="N320" s="215" t="s">
        <v>104</v>
      </c>
      <c r="O320" s="287">
        <f>(N284+N285+N286+N287+N288+N289+N290+N292+N293)*0.5</f>
        <v>133837.783782688</v>
      </c>
      <c r="P320" s="382"/>
      <c r="Q320" s="72"/>
      <c r="R320" s="284"/>
      <c r="S320" s="383"/>
      <c r="T320" s="72"/>
      <c r="U320" s="284"/>
      <c r="V320" s="383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</row>
    <row r="321" spans="1:34" ht="18.75" hidden="1" thickBot="1">
      <c r="A321" s="60"/>
      <c r="B321" s="216"/>
      <c r="C321" s="277"/>
      <c r="D321" s="381"/>
      <c r="E321" s="215" t="s">
        <v>105</v>
      </c>
      <c r="F321" s="288"/>
      <c r="G321" s="382"/>
      <c r="H321" s="215" t="s">
        <v>105</v>
      </c>
      <c r="I321" s="288"/>
      <c r="J321" s="382"/>
      <c r="K321" s="215" t="s">
        <v>105</v>
      </c>
      <c r="L321" s="288"/>
      <c r="M321" s="382"/>
      <c r="N321" s="215" t="s">
        <v>105</v>
      </c>
      <c r="O321" s="288"/>
      <c r="P321" s="382"/>
      <c r="Q321" s="72"/>
      <c r="R321" s="284"/>
      <c r="S321" s="383"/>
      <c r="T321" s="72"/>
      <c r="U321" s="284"/>
      <c r="V321" s="383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</row>
    <row r="322" spans="1:34" ht="18.75" hidden="1" thickBot="1">
      <c r="A322" s="60"/>
      <c r="B322" s="216"/>
      <c r="C322" s="277"/>
      <c r="D322" s="381"/>
      <c r="E322" s="217" t="s">
        <v>106</v>
      </c>
      <c r="F322" s="217">
        <f>F320*0.804</f>
        <v>150647.80942579359</v>
      </c>
      <c r="G322" s="382"/>
      <c r="H322" s="217" t="s">
        <v>106</v>
      </c>
      <c r="I322" s="217">
        <f>I320*0.804</f>
        <v>136659.08426482708</v>
      </c>
      <c r="J322" s="382"/>
      <c r="K322" s="217" t="s">
        <v>106</v>
      </c>
      <c r="L322" s="217">
        <f>L320*0.804</f>
        <v>116214.02441418363</v>
      </c>
      <c r="M322" s="382"/>
      <c r="N322" s="217" t="s">
        <v>106</v>
      </c>
      <c r="O322" s="217">
        <f>O320*0.804</f>
        <v>107605.57816128116</v>
      </c>
      <c r="P322" s="382"/>
      <c r="Q322" s="72"/>
      <c r="R322" s="284"/>
      <c r="S322" s="383"/>
      <c r="T322" s="72"/>
      <c r="U322" s="284"/>
      <c r="V322" s="383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</row>
    <row r="323" spans="1:34" ht="18.75" hidden="1" thickBot="1">
      <c r="A323" s="60"/>
      <c r="B323" s="216"/>
      <c r="C323" s="277"/>
      <c r="D323" s="381"/>
      <c r="E323" s="215" t="s">
        <v>107</v>
      </c>
      <c r="F323" s="215"/>
      <c r="G323" s="382"/>
      <c r="H323" s="215" t="s">
        <v>107</v>
      </c>
      <c r="I323" s="215"/>
      <c r="J323" s="382"/>
      <c r="K323" s="215" t="s">
        <v>107</v>
      </c>
      <c r="L323" s="215"/>
      <c r="M323" s="382"/>
      <c r="N323" s="215" t="s">
        <v>107</v>
      </c>
      <c r="O323" s="215"/>
      <c r="P323" s="382"/>
      <c r="Q323" s="72"/>
      <c r="R323" s="284"/>
      <c r="S323" s="383"/>
      <c r="T323" s="72"/>
      <c r="U323" s="284"/>
      <c r="V323" s="383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</row>
    <row r="324" spans="1:34" ht="18.75" hidden="1" thickBot="1">
      <c r="A324" s="60"/>
      <c r="B324" s="216"/>
      <c r="C324" s="277"/>
      <c r="D324" s="381"/>
      <c r="E324" s="290">
        <v>502</v>
      </c>
      <c r="F324" s="291">
        <f>-(E284+E285+E289+E290+E286+E287+E288+F301+E292+E293+F320)*0.16</f>
        <v>-89938.990701966322</v>
      </c>
      <c r="G324" s="382"/>
      <c r="H324" s="290">
        <v>502</v>
      </c>
      <c r="I324" s="291">
        <f>-(H284+H285+H289+H290+H286+H287+H288+I301+H292+H293+I320)*0.16</f>
        <v>-81587.512993926604</v>
      </c>
      <c r="J324" s="382"/>
      <c r="K324" s="290">
        <v>502</v>
      </c>
      <c r="L324" s="291">
        <f>-(K284+K285+K289+K290+K286+K287+K288+L301+K292+K293+L320)*0.16</f>
        <v>-69381.507112945445</v>
      </c>
      <c r="M324" s="382"/>
      <c r="N324" s="290">
        <v>502</v>
      </c>
      <c r="O324" s="291">
        <f>-(N284+N285+N289+N290+N286+N287+N288+O301+N292+N293+O320)*0.16</f>
        <v>-64242.136215690247</v>
      </c>
      <c r="P324" s="382"/>
      <c r="Q324" s="72"/>
      <c r="R324" s="284"/>
      <c r="S324" s="383"/>
      <c r="T324" s="72"/>
      <c r="U324" s="284"/>
      <c r="V324" s="383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</row>
    <row r="325" spans="1:34" ht="18.75" hidden="1" thickBot="1">
      <c r="A325" s="60"/>
      <c r="B325" s="216"/>
      <c r="C325" s="277"/>
      <c r="D325" s="381"/>
      <c r="E325" s="290">
        <v>504</v>
      </c>
      <c r="F325" s="291"/>
      <c r="G325" s="382"/>
      <c r="H325" s="290">
        <v>504</v>
      </c>
      <c r="I325" s="291"/>
      <c r="J325" s="382"/>
      <c r="K325" s="290">
        <v>504</v>
      </c>
      <c r="L325" s="291"/>
      <c r="M325" s="382"/>
      <c r="N325" s="290">
        <v>504</v>
      </c>
      <c r="O325" s="291"/>
      <c r="P325" s="382"/>
      <c r="Q325" s="72"/>
      <c r="R325" s="284"/>
      <c r="S325" s="383"/>
      <c r="T325" s="72"/>
      <c r="U325" s="284"/>
      <c r="V325" s="383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</row>
    <row r="326" spans="1:34" ht="16.5" hidden="1" thickBot="1">
      <c r="A326" s="60"/>
      <c r="B326" s="216"/>
      <c r="C326" s="277"/>
      <c r="D326" s="381"/>
      <c r="E326" s="290">
        <v>505</v>
      </c>
      <c r="F326" s="291">
        <f>-(E284+E285+E289+E290+E286+E287+E288+F301+E292+E293+F320)*0.03</f>
        <v>-16863.560756618685</v>
      </c>
      <c r="G326" s="382"/>
      <c r="H326" s="290">
        <v>505</v>
      </c>
      <c r="I326" s="291">
        <f>-(H284+H285+H289+H290+H286+H287+H288+I301+H292+H293+I320)*0.03</f>
        <v>-15297.658686361237</v>
      </c>
      <c r="J326" s="382"/>
      <c r="K326" s="290">
        <v>505</v>
      </c>
      <c r="L326" s="291">
        <f>-(K284+K285+K289+K290+K286+K287+K288+L301+K292+K293+L320)*0.03</f>
        <v>-13009.032583677272</v>
      </c>
      <c r="M326" s="382"/>
      <c r="N326" s="290">
        <v>505</v>
      </c>
      <c r="O326" s="291">
        <f>-(N284+N285+N289+N290+N286+N287+N288+O301+N292+N293+O320)*0.03</f>
        <v>-12045.40054044192</v>
      </c>
      <c r="P326" s="382"/>
      <c r="Q326" s="60"/>
    </row>
    <row r="327" spans="1:34" ht="18.75" hidden="1" thickBot="1">
      <c r="A327" s="60"/>
      <c r="B327" s="216"/>
      <c r="C327" s="277"/>
      <c r="D327" s="381"/>
      <c r="E327" s="280"/>
      <c r="F327" s="292"/>
      <c r="G327" s="382"/>
      <c r="H327" s="280"/>
      <c r="I327" s="292"/>
      <c r="J327" s="382"/>
      <c r="K327" s="280"/>
      <c r="L327" s="292"/>
      <c r="M327" s="382"/>
      <c r="N327" s="280"/>
      <c r="O327" s="292"/>
      <c r="P327" s="382"/>
      <c r="Q327" s="72"/>
      <c r="R327" s="284"/>
      <c r="S327" s="383"/>
      <c r="T327" s="72"/>
      <c r="U327" s="284"/>
      <c r="V327" s="383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</row>
    <row r="328" spans="1:34" ht="18.75" hidden="1" thickBot="1">
      <c r="A328" s="60"/>
      <c r="B328" s="216"/>
      <c r="C328" s="277"/>
      <c r="D328" s="381"/>
      <c r="E328" s="293" t="s">
        <v>108</v>
      </c>
      <c r="F328" s="293"/>
      <c r="G328" s="382"/>
      <c r="H328" s="293" t="s">
        <v>108</v>
      </c>
      <c r="I328" s="293"/>
      <c r="J328" s="382"/>
      <c r="K328" s="293" t="s">
        <v>108</v>
      </c>
      <c r="L328" s="293"/>
      <c r="M328" s="382"/>
      <c r="N328" s="293" t="s">
        <v>108</v>
      </c>
      <c r="O328" s="293"/>
      <c r="P328" s="382"/>
      <c r="Q328" s="72"/>
      <c r="R328" s="284"/>
      <c r="S328" s="383"/>
      <c r="T328" s="72"/>
      <c r="U328" s="284"/>
      <c r="V328" s="383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</row>
    <row r="329" spans="1:34" ht="18.75" hidden="1" thickBot="1">
      <c r="A329" s="60"/>
      <c r="B329" s="216"/>
      <c r="C329" s="277"/>
      <c r="D329" s="381"/>
      <c r="E329" s="293"/>
      <c r="F329" s="295">
        <f>E300+F320+F321+F324+F325+F326</f>
        <v>485688.1404287045</v>
      </c>
      <c r="G329" s="382"/>
      <c r="H329" s="293"/>
      <c r="I329" s="295">
        <f>H300+I320+I321+I324+I325+I326</f>
        <v>443408.78453175351</v>
      </c>
      <c r="J329" s="382"/>
      <c r="K329" s="293"/>
      <c r="L329" s="295">
        <f>K300+L320+L321+L324+L325+L326</f>
        <v>375443.87975928636</v>
      </c>
      <c r="M329" s="382"/>
      <c r="N329" s="293"/>
      <c r="O329" s="295">
        <f>N300+O320+O321+O324+O325+O326</f>
        <v>349425.81459193188</v>
      </c>
      <c r="P329" s="382"/>
      <c r="Q329" s="72"/>
      <c r="R329" s="284"/>
      <c r="S329" s="383"/>
      <c r="T329" s="72"/>
      <c r="U329" s="284"/>
      <c r="V329" s="383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</row>
    <row r="330" spans="1:34" ht="18.75" hidden="1" thickBot="1">
      <c r="A330" s="60"/>
      <c r="B330" s="216"/>
      <c r="C330" s="277"/>
      <c r="D330" s="381"/>
      <c r="E330" s="296" t="s">
        <v>109</v>
      </c>
      <c r="F330" s="296"/>
      <c r="G330" s="382"/>
      <c r="H330" s="296" t="s">
        <v>109</v>
      </c>
      <c r="I330" s="296"/>
      <c r="J330" s="382"/>
      <c r="K330" s="296" t="s">
        <v>109</v>
      </c>
      <c r="L330" s="296"/>
      <c r="M330" s="382"/>
      <c r="N330" s="296" t="s">
        <v>109</v>
      </c>
      <c r="O330" s="296"/>
      <c r="P330" s="382"/>
      <c r="Q330" s="72"/>
      <c r="R330" s="284"/>
      <c r="S330" s="383"/>
      <c r="T330" s="72"/>
      <c r="U330" s="284"/>
      <c r="V330" s="383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</row>
    <row r="331" spans="1:34" ht="21" hidden="1" thickBot="1">
      <c r="A331" s="60"/>
      <c r="B331" s="216"/>
      <c r="C331" s="277"/>
      <c r="D331" s="381"/>
      <c r="E331" s="217"/>
      <c r="F331" s="385">
        <f>F329-F308+F304</f>
        <v>151772.04680956819</v>
      </c>
      <c r="G331" s="382"/>
      <c r="H331" s="217"/>
      <c r="I331" s="385">
        <f>I329-I308+I304</f>
        <v>137678.92817725119</v>
      </c>
      <c r="J331" s="382"/>
      <c r="K331" s="217"/>
      <c r="L331" s="385">
        <f>L329-L308+L304</f>
        <v>117081.29325309547</v>
      </c>
      <c r="M331" s="382"/>
      <c r="N331" s="217"/>
      <c r="O331" s="385">
        <f>O329-O308+O304</f>
        <v>108408.60486397732</v>
      </c>
      <c r="P331" s="382"/>
      <c r="Q331" s="72"/>
      <c r="R331" s="284"/>
      <c r="S331" s="383"/>
      <c r="T331" s="72"/>
      <c r="U331" s="284"/>
      <c r="V331" s="383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</row>
    <row r="332" spans="1:34" ht="18" hidden="1">
      <c r="A332" s="60"/>
      <c r="B332" s="125"/>
      <c r="C332" s="68"/>
      <c r="D332" s="348"/>
      <c r="E332" s="348"/>
      <c r="F332" s="348"/>
      <c r="G332" s="348"/>
      <c r="H332" s="348"/>
      <c r="I332" s="348"/>
      <c r="J332" s="348"/>
      <c r="K332" s="348"/>
      <c r="L332" s="348"/>
      <c r="M332" s="348"/>
      <c r="N332" s="348"/>
      <c r="O332" s="348"/>
      <c r="P332" s="348"/>
      <c r="Q332" s="284"/>
      <c r="R332" s="383"/>
      <c r="S332" s="282"/>
      <c r="T332" s="284"/>
      <c r="U332" s="383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</row>
    <row r="333" spans="1:34" s="67" customFormat="1" ht="18" hidden="1">
      <c r="A333" s="60"/>
      <c r="B333" s="125"/>
      <c r="C333" s="68"/>
      <c r="D333" s="348"/>
      <c r="E333" s="348"/>
      <c r="F333" s="348"/>
      <c r="G333" s="348"/>
      <c r="H333" s="348"/>
      <c r="I333" s="348"/>
      <c r="J333" s="348"/>
      <c r="K333" s="348"/>
      <c r="L333" s="348"/>
      <c r="M333" s="348"/>
      <c r="N333" s="348"/>
      <c r="O333" s="348"/>
      <c r="P333" s="348"/>
      <c r="Q333" s="284"/>
      <c r="R333" s="383"/>
      <c r="S333" s="282"/>
      <c r="T333" s="284"/>
      <c r="U333" s="383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</row>
    <row r="334" spans="1:34" s="389" customFormat="1" ht="18.75" thickTop="1">
      <c r="A334" s="386"/>
      <c r="B334" s="386"/>
      <c r="C334" s="386"/>
      <c r="D334" s="386"/>
      <c r="E334" s="386"/>
      <c r="F334" s="386"/>
      <c r="G334" s="386"/>
      <c r="H334" s="386"/>
      <c r="I334" s="386"/>
      <c r="J334" s="386"/>
      <c r="K334" s="386"/>
      <c r="L334" s="386"/>
      <c r="M334" s="386"/>
      <c r="N334" s="386"/>
      <c r="O334" s="386"/>
      <c r="P334" s="386"/>
      <c r="Q334" s="387"/>
      <c r="R334" s="387"/>
      <c r="S334" s="386"/>
      <c r="T334" s="388"/>
      <c r="U334" s="386"/>
      <c r="V334" s="386"/>
      <c r="W334" s="386"/>
      <c r="X334" s="386"/>
      <c r="Y334" s="386"/>
      <c r="Z334" s="386"/>
      <c r="AA334" s="386"/>
      <c r="AB334" s="386"/>
      <c r="AC334" s="386"/>
      <c r="AD334" s="386"/>
      <c r="AE334" s="386"/>
      <c r="AF334" s="386"/>
      <c r="AG334" s="386"/>
      <c r="AH334" s="386"/>
    </row>
    <row r="335" spans="1:34" s="473" customFormat="1" ht="18.75" thickBot="1">
      <c r="A335" s="532"/>
      <c r="B335" s="532"/>
      <c r="C335" s="532"/>
      <c r="D335" s="532"/>
      <c r="E335" s="532"/>
      <c r="F335" s="532"/>
      <c r="G335" s="532"/>
      <c r="H335" s="532"/>
      <c r="I335" s="532"/>
      <c r="J335" s="532"/>
      <c r="K335" s="532"/>
      <c r="L335" s="532"/>
      <c r="M335" s="532"/>
      <c r="N335" s="532"/>
      <c r="O335" s="532"/>
      <c r="P335" s="532"/>
      <c r="Q335" s="387"/>
      <c r="R335" s="387"/>
      <c r="S335" s="386"/>
      <c r="T335" s="388"/>
      <c r="U335" s="386"/>
      <c r="V335" s="386"/>
      <c r="W335" s="386"/>
      <c r="X335" s="386"/>
      <c r="Y335" s="386"/>
      <c r="Z335" s="386"/>
      <c r="AA335" s="386"/>
      <c r="AB335" s="386"/>
      <c r="AC335" s="386"/>
      <c r="AD335" s="386"/>
      <c r="AE335" s="386"/>
      <c r="AF335" s="386"/>
      <c r="AG335" s="386"/>
      <c r="AH335" s="386"/>
    </row>
    <row r="336" spans="1:34" ht="12.75">
      <c r="A336" s="153"/>
      <c r="B336" s="153"/>
      <c r="C336" s="531"/>
      <c r="D336" s="531"/>
      <c r="E336" s="531"/>
      <c r="F336" s="666"/>
      <c r="G336" s="738" t="str">
        <f>canthormed&amp;" horas med"</f>
        <v>36 horas med</v>
      </c>
      <c r="H336" s="739">
        <f>porantighormed</f>
        <v>1.2</v>
      </c>
      <c r="I336" s="666" t="str">
        <f>A335&amp;""</f>
        <v/>
      </c>
      <c r="J336" s="732"/>
      <c r="K336" s="733"/>
      <c r="L336" s="697"/>
      <c r="M336" s="625"/>
      <c r="N336" s="531"/>
      <c r="O336" s="700"/>
      <c r="P336" s="625"/>
      <c r="Q336" s="60"/>
      <c r="R336" s="60"/>
      <c r="S336" s="60"/>
      <c r="T336" s="60"/>
      <c r="U336" s="60"/>
      <c r="V336" s="60"/>
    </row>
    <row r="337" spans="1:34" ht="12.75">
      <c r="A337" s="60"/>
      <c r="B337" s="60"/>
      <c r="C337" s="60"/>
      <c r="D337" s="60"/>
      <c r="E337" s="60"/>
      <c r="F337" s="660">
        <v>44927</v>
      </c>
      <c r="G337" s="661">
        <v>44958</v>
      </c>
      <c r="H337" s="661">
        <v>44986</v>
      </c>
      <c r="I337" s="660">
        <v>45047</v>
      </c>
      <c r="J337" s="734"/>
      <c r="K337" s="694"/>
      <c r="L337" s="694"/>
      <c r="M337" s="694"/>
      <c r="N337" s="60"/>
      <c r="O337" s="694"/>
      <c r="P337" s="694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</row>
    <row r="338" spans="1:34" s="724" customFormat="1" ht="12.75">
      <c r="A338" s="60"/>
      <c r="B338" s="60"/>
      <c r="C338" s="60"/>
      <c r="D338" s="60"/>
      <c r="E338" s="60"/>
      <c r="F338" s="662">
        <f>N343</f>
        <v>281719.65915147675</v>
      </c>
      <c r="G338" s="663">
        <f>K343</f>
        <v>302321.23188359488</v>
      </c>
      <c r="H338" s="663">
        <f>H343</f>
        <v>357421.9671223755</v>
      </c>
      <c r="I338" s="662">
        <f>E343</f>
        <v>390899.52281206741</v>
      </c>
      <c r="J338" s="734"/>
      <c r="K338" s="694"/>
      <c r="L338" s="694"/>
      <c r="M338" s="694"/>
      <c r="N338" s="60"/>
      <c r="O338" s="694"/>
      <c r="P338" s="694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</row>
    <row r="339" spans="1:34" ht="20.25">
      <c r="A339" s="60"/>
      <c r="B339" s="60"/>
      <c r="C339" s="605" t="s">
        <v>127</v>
      </c>
      <c r="D339" s="604"/>
      <c r="E339" s="708"/>
      <c r="F339" s="667" t="s">
        <v>485</v>
      </c>
      <c r="G339" s="664">
        <f>G338-$F338</f>
        <v>20601.572732118133</v>
      </c>
      <c r="H339" s="664">
        <f>H338-$F338</f>
        <v>75702.30797089875</v>
      </c>
      <c r="I339" s="664">
        <f>I338-$F338</f>
        <v>109179.86366059066</v>
      </c>
      <c r="J339" s="735"/>
      <c r="K339" s="695"/>
      <c r="L339" s="695"/>
      <c r="M339" s="695"/>
      <c r="N339" s="691"/>
      <c r="O339" s="695"/>
      <c r="P339" s="695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</row>
    <row r="340" spans="1:34">
      <c r="A340" s="60"/>
      <c r="B340" s="772" t="s">
        <v>111</v>
      </c>
      <c r="C340" s="763"/>
      <c r="D340" s="480">
        <v>36</v>
      </c>
      <c r="E340" s="306"/>
      <c r="F340" s="747" t="s">
        <v>489</v>
      </c>
      <c r="G340" s="748">
        <f>G339/$F338</f>
        <v>7.3127920125165821E-2</v>
      </c>
      <c r="H340" s="748">
        <f>H339/$F338</f>
        <v>0.2687150346515032</v>
      </c>
      <c r="I340" s="748">
        <f>I339/$F338</f>
        <v>0.38754790485489748</v>
      </c>
      <c r="J340" s="736"/>
      <c r="K340" s="696"/>
      <c r="L340" s="695"/>
      <c r="M340" s="696"/>
      <c r="N340" s="306"/>
      <c r="O340" s="695"/>
      <c r="P340" s="696"/>
      <c r="Q340" s="60"/>
      <c r="R340" s="68"/>
      <c r="S340" s="60"/>
      <c r="T340" s="60"/>
      <c r="U340" s="68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</row>
    <row r="341" spans="1:34" ht="16.5" thickBot="1">
      <c r="A341" s="60"/>
      <c r="B341" s="772" t="s">
        <v>112</v>
      </c>
      <c r="C341" s="763"/>
      <c r="D341" s="481">
        <v>24</v>
      </c>
      <c r="E341" s="60" t="s">
        <v>491</v>
      </c>
      <c r="F341" s="749" t="s">
        <v>512</v>
      </c>
      <c r="G341" s="750">
        <f>L383</f>
        <v>7.9999999999999974E-2</v>
      </c>
      <c r="H341" s="750">
        <f>I383</f>
        <v>0.27000000000000013</v>
      </c>
      <c r="I341" s="750">
        <f>F383</f>
        <v>0.39999999999999986</v>
      </c>
      <c r="J341" s="737"/>
      <c r="K341" s="699"/>
      <c r="L341" s="625"/>
      <c r="M341" s="699"/>
      <c r="N341" s="60" t="s">
        <v>491</v>
      </c>
      <c r="O341" s="625"/>
      <c r="P341" s="699"/>
      <c r="Q341" s="60"/>
      <c r="R341" s="68"/>
      <c r="S341" s="60"/>
      <c r="T341" s="60"/>
      <c r="U341" s="68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</row>
    <row r="342" spans="1:34" ht="16.5" thickTop="1">
      <c r="A342" s="60"/>
      <c r="B342" s="60"/>
      <c r="C342" s="60"/>
      <c r="D342" s="529">
        <f>LOOKUP(D341,D17:D28,E17:E28)</f>
        <v>1.2</v>
      </c>
      <c r="E342" s="171" t="s">
        <v>58</v>
      </c>
      <c r="F342" s="641"/>
      <c r="G342" s="641"/>
      <c r="H342" s="731" t="s">
        <v>58</v>
      </c>
      <c r="I342" s="641"/>
      <c r="J342" s="641"/>
      <c r="K342" s="171" t="s">
        <v>58</v>
      </c>
      <c r="L342" s="641"/>
      <c r="M342" s="641"/>
      <c r="N342" s="171" t="s">
        <v>58</v>
      </c>
      <c r="O342" s="641"/>
      <c r="P342" s="641"/>
      <c r="Q342" s="75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</row>
    <row r="343" spans="1:34" ht="21" thickBot="1">
      <c r="A343" s="118"/>
      <c r="B343" s="390" t="s">
        <v>113</v>
      </c>
      <c r="C343" s="308"/>
      <c r="D343" s="500"/>
      <c r="E343" s="533">
        <f>F429</f>
        <v>390899.52281206741</v>
      </c>
      <c r="F343" s="689"/>
      <c r="G343" s="689"/>
      <c r="H343" s="533">
        <f>I429</f>
        <v>357421.9671223755</v>
      </c>
      <c r="I343" s="689"/>
      <c r="J343" s="689"/>
      <c r="K343" s="533">
        <f>L429</f>
        <v>302321.23188359488</v>
      </c>
      <c r="L343" s="689"/>
      <c r="M343" s="689"/>
      <c r="N343" s="533">
        <f>O429</f>
        <v>281719.65915147675</v>
      </c>
      <c r="O343" s="689"/>
      <c r="P343" s="689"/>
      <c r="Q343" s="309"/>
      <c r="R343" s="391"/>
      <c r="S343" s="118"/>
      <c r="T343" s="118"/>
      <c r="U343" s="391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</row>
    <row r="344" spans="1:34" ht="16.5" thickTop="1">
      <c r="A344" s="60"/>
      <c r="B344" s="784" t="s">
        <v>114</v>
      </c>
      <c r="C344" s="770"/>
      <c r="D344" s="501">
        <v>36</v>
      </c>
      <c r="E344" s="690"/>
      <c r="F344" s="690"/>
      <c r="G344" s="690"/>
      <c r="H344" s="690"/>
      <c r="I344" s="690"/>
      <c r="J344" s="690"/>
      <c r="K344" s="690"/>
      <c r="L344" s="690"/>
      <c r="M344" s="690"/>
      <c r="N344" s="690"/>
      <c r="O344" s="690"/>
      <c r="P344" s="690"/>
      <c r="Q344" s="60"/>
      <c r="R344" s="68"/>
      <c r="S344" s="60"/>
      <c r="T344" s="60"/>
      <c r="U344" s="68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</row>
    <row r="345" spans="1:34">
      <c r="A345" s="60"/>
      <c r="B345" s="784" t="s">
        <v>115</v>
      </c>
      <c r="C345" s="770"/>
      <c r="D345" s="647">
        <v>36</v>
      </c>
      <c r="E345" s="690"/>
      <c r="F345" s="690"/>
      <c r="G345" s="690"/>
      <c r="H345" s="690"/>
      <c r="I345" s="690"/>
      <c r="J345" s="690"/>
      <c r="K345" s="690"/>
      <c r="L345" s="690"/>
      <c r="M345" s="690"/>
      <c r="N345" s="690"/>
      <c r="O345" s="690"/>
      <c r="P345" s="690"/>
      <c r="Q345" s="60"/>
      <c r="R345" s="68"/>
      <c r="S345" s="60"/>
      <c r="T345" s="60"/>
      <c r="U345" s="68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</row>
    <row r="346" spans="1:34">
      <c r="A346" s="60"/>
      <c r="B346" s="97" t="s">
        <v>490</v>
      </c>
      <c r="C346" s="543"/>
      <c r="D346" s="562">
        <v>15</v>
      </c>
      <c r="E346" s="562"/>
      <c r="F346" s="562"/>
      <c r="G346" s="562"/>
      <c r="H346" s="562"/>
      <c r="I346" s="562"/>
      <c r="J346" s="562"/>
      <c r="K346" s="562"/>
      <c r="L346" s="562"/>
      <c r="M346" s="562"/>
      <c r="N346" s="562"/>
      <c r="O346" s="562"/>
      <c r="P346" s="562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</row>
    <row r="347" spans="1:34" s="155" customFormat="1" ht="12.75">
      <c r="A347" s="60"/>
      <c r="B347" s="785" t="s">
        <v>59</v>
      </c>
      <c r="C347" s="786"/>
      <c r="D347" s="561">
        <v>0</v>
      </c>
      <c r="E347" s="561"/>
      <c r="F347" s="561"/>
      <c r="G347" s="561"/>
      <c r="H347" s="561"/>
      <c r="I347" s="561"/>
      <c r="J347" s="561"/>
      <c r="K347" s="561"/>
      <c r="L347" s="561"/>
      <c r="M347" s="561"/>
      <c r="N347" s="561"/>
      <c r="O347" s="561"/>
      <c r="P347" s="561"/>
      <c r="Q347" s="60"/>
      <c r="R347" s="69"/>
      <c r="S347" s="544"/>
      <c r="T347" s="60"/>
      <c r="U347" s="69"/>
      <c r="V347" s="544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</row>
    <row r="348" spans="1:34" ht="18">
      <c r="A348" s="118"/>
      <c r="B348" s="787" t="s">
        <v>60</v>
      </c>
      <c r="C348" s="770"/>
      <c r="D348" s="172">
        <f>canthorsup*86.9</f>
        <v>3128.4</v>
      </c>
      <c r="E348" s="172"/>
      <c r="F348" s="172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18"/>
      <c r="R348" s="68"/>
      <c r="S348" s="391"/>
      <c r="T348" s="118"/>
      <c r="U348" s="68"/>
      <c r="V348" s="391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</row>
    <row r="349" spans="1:34" ht="18">
      <c r="A349" s="118"/>
      <c r="B349" s="392"/>
      <c r="C349" s="393"/>
      <c r="D349" s="394"/>
      <c r="E349" s="40">
        <v>45047</v>
      </c>
      <c r="F349" s="693" t="s">
        <v>511</v>
      </c>
      <c r="G349" s="617"/>
      <c r="H349" s="40">
        <v>44986</v>
      </c>
      <c r="I349" s="693" t="s">
        <v>510</v>
      </c>
      <c r="J349" s="617"/>
      <c r="K349" s="40">
        <v>44958</v>
      </c>
      <c r="L349" s="744">
        <v>0.08</v>
      </c>
      <c r="M349" s="175"/>
      <c r="N349" s="40">
        <v>44927</v>
      </c>
      <c r="O349" s="693"/>
      <c r="P349" s="394"/>
      <c r="Q349" s="68"/>
      <c r="R349" s="68"/>
      <c r="S349" s="118"/>
      <c r="T349" s="177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</row>
    <row r="350" spans="1:34">
      <c r="A350" s="118"/>
      <c r="B350" s="318" t="s">
        <v>62</v>
      </c>
      <c r="C350" s="319" t="s">
        <v>63</v>
      </c>
      <c r="D350" s="320" t="s">
        <v>64</v>
      </c>
      <c r="E350" s="320"/>
      <c r="F350" s="320"/>
      <c r="G350" s="321"/>
      <c r="H350" s="320"/>
      <c r="I350" s="320"/>
      <c r="J350" s="321"/>
      <c r="K350" s="320"/>
      <c r="L350" s="320"/>
      <c r="M350" s="321"/>
      <c r="N350" s="320"/>
      <c r="O350" s="320"/>
      <c r="P350" s="321"/>
      <c r="Q350" s="68"/>
      <c r="R350" s="68"/>
      <c r="S350" s="118"/>
      <c r="T350" s="177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</row>
    <row r="351" spans="1:34">
      <c r="A351" s="118"/>
      <c r="B351" s="494">
        <v>4</v>
      </c>
      <c r="C351" s="502">
        <v>36</v>
      </c>
      <c r="D351" s="328" t="s">
        <v>118</v>
      </c>
      <c r="E351" s="186">
        <f>E406</f>
        <v>168773.17564799997</v>
      </c>
      <c r="F351" s="186"/>
      <c r="G351" s="677"/>
      <c r="H351" s="186">
        <f>H406</f>
        <v>153101.38076639999</v>
      </c>
      <c r="I351" s="186"/>
      <c r="J351" s="677"/>
      <c r="K351" s="186">
        <f>K406</f>
        <v>130196.44978559999</v>
      </c>
      <c r="L351" s="186"/>
      <c r="M351" s="677"/>
      <c r="N351" s="186">
        <f>N406</f>
        <v>120552.26831999999</v>
      </c>
      <c r="O351" s="186"/>
      <c r="P351" s="677"/>
      <c r="Q351" s="68"/>
      <c r="R351" s="68"/>
      <c r="S351" s="118"/>
      <c r="T351" s="177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</row>
    <row r="352" spans="1:34">
      <c r="A352" s="118"/>
      <c r="B352" s="485">
        <v>10</v>
      </c>
      <c r="C352" s="611">
        <v>1.2</v>
      </c>
      <c r="D352" s="323" t="s">
        <v>73</v>
      </c>
      <c r="E352" s="323">
        <f t="shared" ref="E352:E359" si="187">E407</f>
        <v>202527.81077759995</v>
      </c>
      <c r="F352" s="323"/>
      <c r="G352" s="396"/>
      <c r="H352" s="323">
        <f t="shared" ref="H352:H359" si="188">H407</f>
        <v>183721.65691967998</v>
      </c>
      <c r="I352" s="323"/>
      <c r="J352" s="396"/>
      <c r="K352" s="323">
        <f t="shared" ref="K352:K359" si="189">K407</f>
        <v>156235.73974271998</v>
      </c>
      <c r="L352" s="323"/>
      <c r="M352" s="396"/>
      <c r="N352" s="323">
        <f t="shared" ref="N352:N359" si="190">N407</f>
        <v>144662.72198399997</v>
      </c>
      <c r="O352" s="323"/>
      <c r="P352" s="396"/>
      <c r="Q352" s="68"/>
      <c r="R352" s="68"/>
      <c r="S352" s="118"/>
      <c r="T352" s="177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</row>
    <row r="353" spans="1:34">
      <c r="A353" s="118"/>
      <c r="B353" s="494">
        <v>6</v>
      </c>
      <c r="C353" s="47">
        <f>C408</f>
        <v>17</v>
      </c>
      <c r="D353" s="328" t="s">
        <v>72</v>
      </c>
      <c r="E353" s="328">
        <f t="shared" si="187"/>
        <v>14734.58</v>
      </c>
      <c r="F353" s="328"/>
      <c r="G353" s="395"/>
      <c r="H353" s="328">
        <f t="shared" si="188"/>
        <v>13366.369000000001</v>
      </c>
      <c r="I353" s="328"/>
      <c r="J353" s="395"/>
      <c r="K353" s="328">
        <f t="shared" si="189"/>
        <v>11366.676000000001</v>
      </c>
      <c r="L353" s="328"/>
      <c r="M353" s="395"/>
      <c r="N353" s="328">
        <f t="shared" si="190"/>
        <v>10524.7</v>
      </c>
      <c r="O353" s="328"/>
      <c r="P353" s="395"/>
      <c r="Q353" s="68"/>
      <c r="R353" s="68"/>
      <c r="S353" s="118"/>
      <c r="T353" s="177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</row>
    <row r="354" spans="1:34">
      <c r="A354" s="118"/>
      <c r="B354" s="485">
        <v>14</v>
      </c>
      <c r="C354" s="611">
        <v>7.0000000000000007E-2</v>
      </c>
      <c r="D354" s="323" t="s">
        <v>119</v>
      </c>
      <c r="E354" s="323">
        <f t="shared" si="187"/>
        <v>1031.4206000000001</v>
      </c>
      <c r="F354" s="323"/>
      <c r="G354" s="396"/>
      <c r="H354" s="323">
        <f t="shared" si="188"/>
        <v>935.64583000000016</v>
      </c>
      <c r="I354" s="323"/>
      <c r="J354" s="396"/>
      <c r="K354" s="323">
        <f t="shared" si="189"/>
        <v>795.66732000000013</v>
      </c>
      <c r="L354" s="323"/>
      <c r="M354" s="396"/>
      <c r="N354" s="323">
        <f t="shared" si="190"/>
        <v>736.72900000000016</v>
      </c>
      <c r="O354" s="323"/>
      <c r="P354" s="396"/>
      <c r="Q354" s="68"/>
      <c r="R354" s="68"/>
      <c r="S354" s="118"/>
      <c r="T354" s="177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</row>
    <row r="355" spans="1:34">
      <c r="A355" s="118"/>
      <c r="B355" s="669">
        <v>188</v>
      </c>
      <c r="C355" s="675">
        <v>7.0000000000000007E-2</v>
      </c>
      <c r="D355" s="671" t="s">
        <v>75</v>
      </c>
      <c r="E355" s="671">
        <f t="shared" si="187"/>
        <v>28086.990149792</v>
      </c>
      <c r="F355" s="671"/>
      <c r="G355" s="395"/>
      <c r="H355" s="671">
        <f t="shared" si="188"/>
        <v>25478.9124930256</v>
      </c>
      <c r="I355" s="671"/>
      <c r="J355" s="395"/>
      <c r="K355" s="671">
        <f t="shared" si="189"/>
        <v>21667.106686982399</v>
      </c>
      <c r="L355" s="671"/>
      <c r="M355" s="395"/>
      <c r="N355" s="671">
        <f t="shared" si="190"/>
        <v>20062.135821279997</v>
      </c>
      <c r="O355" s="671"/>
      <c r="P355" s="395"/>
      <c r="Q355" s="68"/>
      <c r="R355" s="68"/>
      <c r="S355" s="118"/>
      <c r="T355" s="177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</row>
    <row r="356" spans="1:34">
      <c r="A356" s="118"/>
      <c r="B356" s="485">
        <v>117</v>
      </c>
      <c r="C356" s="487"/>
      <c r="D356" s="323" t="s">
        <v>81</v>
      </c>
      <c r="E356" s="323">
        <f t="shared" si="187"/>
        <v>8836.8559999999998</v>
      </c>
      <c r="F356" s="323"/>
      <c r="G356" s="395"/>
      <c r="H356" s="323">
        <f t="shared" si="188"/>
        <v>8016.2907999999998</v>
      </c>
      <c r="I356" s="323"/>
      <c r="J356" s="395"/>
      <c r="K356" s="323">
        <f t="shared" si="189"/>
        <v>6817.0032000000001</v>
      </c>
      <c r="L356" s="323"/>
      <c r="M356" s="395"/>
      <c r="N356" s="323">
        <f t="shared" si="190"/>
        <v>6312.04</v>
      </c>
      <c r="O356" s="323"/>
      <c r="P356" s="395"/>
      <c r="Q356" s="68"/>
      <c r="R356" s="68"/>
      <c r="S356" s="118"/>
      <c r="T356" s="177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</row>
    <row r="357" spans="1:34">
      <c r="A357" s="118"/>
      <c r="B357" s="494">
        <v>29</v>
      </c>
      <c r="C357" s="494">
        <f>cantkmhs</f>
        <v>0</v>
      </c>
      <c r="D357" s="328" t="s">
        <v>82</v>
      </c>
      <c r="E357" s="328">
        <f t="shared" si="187"/>
        <v>0</v>
      </c>
      <c r="F357" s="328"/>
      <c r="G357" s="395"/>
      <c r="H357" s="328">
        <f t="shared" si="188"/>
        <v>0</v>
      </c>
      <c r="I357" s="328"/>
      <c r="J357" s="395"/>
      <c r="K357" s="328">
        <f t="shared" si="189"/>
        <v>0</v>
      </c>
      <c r="L357" s="328"/>
      <c r="M357" s="395"/>
      <c r="N357" s="328">
        <f t="shared" si="190"/>
        <v>0</v>
      </c>
      <c r="O357" s="328"/>
      <c r="P357" s="395"/>
      <c r="Q357" s="68"/>
      <c r="R357" s="68"/>
      <c r="S357" s="118"/>
      <c r="T357" s="177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</row>
    <row r="358" spans="1:34">
      <c r="A358" s="118"/>
      <c r="B358" s="495">
        <v>38</v>
      </c>
      <c r="C358" s="566">
        <f>D346</f>
        <v>15</v>
      </c>
      <c r="D358" s="329" t="s">
        <v>121</v>
      </c>
      <c r="E358" s="329">
        <f t="shared" si="187"/>
        <v>21104.874</v>
      </c>
      <c r="F358" s="329"/>
      <c r="G358" s="397"/>
      <c r="H358" s="329">
        <f t="shared" si="188"/>
        <v>19145.135699999999</v>
      </c>
      <c r="I358" s="329"/>
      <c r="J358" s="397"/>
      <c r="K358" s="329">
        <f t="shared" si="189"/>
        <v>16280.902800000002</v>
      </c>
      <c r="L358" s="329"/>
      <c r="M358" s="397"/>
      <c r="N358" s="329">
        <f t="shared" si="190"/>
        <v>15074.91</v>
      </c>
      <c r="O358" s="329"/>
      <c r="P358" s="397"/>
      <c r="Q358" s="68"/>
      <c r="R358" s="68"/>
      <c r="S358" s="118"/>
      <c r="T358" s="177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</row>
    <row r="359" spans="1:34">
      <c r="A359" s="118"/>
      <c r="B359" s="669"/>
      <c r="C359" s="680"/>
      <c r="D359" s="681" t="s">
        <v>128</v>
      </c>
      <c r="E359" s="681">
        <f t="shared" si="187"/>
        <v>445095.7071753919</v>
      </c>
      <c r="F359" s="681"/>
      <c r="G359" s="682"/>
      <c r="H359" s="681">
        <f t="shared" si="188"/>
        <v>403765.39150910557</v>
      </c>
      <c r="I359" s="681"/>
      <c r="J359" s="682"/>
      <c r="K359" s="681">
        <f t="shared" si="189"/>
        <v>343359.54553530231</v>
      </c>
      <c r="L359" s="681"/>
      <c r="M359" s="682"/>
      <c r="N359" s="681">
        <f t="shared" si="190"/>
        <v>317925.50512527995</v>
      </c>
      <c r="O359" s="681"/>
      <c r="P359" s="682"/>
      <c r="Q359" s="68"/>
      <c r="R359" s="68"/>
      <c r="S359" s="118"/>
      <c r="T359" s="177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</row>
    <row r="360" spans="1:34">
      <c r="A360" s="118"/>
      <c r="B360" s="496" t="s">
        <v>123</v>
      </c>
      <c r="C360" s="489"/>
      <c r="D360" s="323"/>
      <c r="E360" s="540">
        <v>0</v>
      </c>
      <c r="F360" s="323"/>
      <c r="G360" s="396"/>
      <c r="H360" s="540">
        <v>0</v>
      </c>
      <c r="I360" s="323"/>
      <c r="J360" s="396"/>
      <c r="K360" s="540">
        <v>0</v>
      </c>
      <c r="L360" s="323"/>
      <c r="M360" s="396"/>
      <c r="N360" s="540">
        <v>0</v>
      </c>
      <c r="O360" s="323"/>
      <c r="P360" s="396"/>
      <c r="Q360" s="68"/>
      <c r="R360" s="68"/>
      <c r="S360" s="118"/>
      <c r="T360" s="177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</row>
    <row r="361" spans="1:34">
      <c r="A361" s="118"/>
      <c r="B361" s="678"/>
      <c r="C361" s="679"/>
      <c r="D361" s="328"/>
      <c r="E361" s="328">
        <f t="shared" ref="E361:E366" si="191">E416</f>
        <v>0</v>
      </c>
      <c r="F361" s="328"/>
      <c r="G361" s="395"/>
      <c r="H361" s="328">
        <f t="shared" ref="H361:H366" si="192">H416</f>
        <v>0</v>
      </c>
      <c r="I361" s="328"/>
      <c r="J361" s="395"/>
      <c r="K361" s="328">
        <f t="shared" ref="K361:K366" si="193">K416</f>
        <v>0</v>
      </c>
      <c r="L361" s="328"/>
      <c r="M361" s="395"/>
      <c r="N361" s="328">
        <f t="shared" ref="N361:N366" si="194">N416</f>
        <v>0</v>
      </c>
      <c r="O361" s="328"/>
      <c r="P361" s="395"/>
      <c r="Q361" s="68"/>
      <c r="R361" s="68"/>
      <c r="S361" s="118"/>
      <c r="T361" s="177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</row>
    <row r="362" spans="1:34">
      <c r="A362" s="118"/>
      <c r="B362" s="485">
        <v>84</v>
      </c>
      <c r="C362" s="49">
        <f>C417</f>
        <v>24</v>
      </c>
      <c r="D362" s="323" t="s">
        <v>86</v>
      </c>
      <c r="E362" s="323">
        <f t="shared" si="191"/>
        <v>20872</v>
      </c>
      <c r="F362" s="323"/>
      <c r="G362" s="395"/>
      <c r="H362" s="323">
        <f t="shared" si="192"/>
        <v>20872</v>
      </c>
      <c r="I362" s="323"/>
      <c r="J362" s="395"/>
      <c r="K362" s="323">
        <f t="shared" si="193"/>
        <v>14700</v>
      </c>
      <c r="L362" s="323"/>
      <c r="M362" s="395"/>
      <c r="N362" s="323">
        <f t="shared" si="194"/>
        <v>14700</v>
      </c>
      <c r="O362" s="323"/>
      <c r="P362" s="395"/>
      <c r="Q362" s="68"/>
      <c r="R362" s="68"/>
      <c r="S362" s="118"/>
      <c r="T362" s="177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</row>
    <row r="363" spans="1:34">
      <c r="A363" s="118"/>
      <c r="B363" s="669">
        <v>54</v>
      </c>
      <c r="C363" s="672">
        <f>C418</f>
        <v>24</v>
      </c>
      <c r="D363" s="671" t="s">
        <v>88</v>
      </c>
      <c r="E363" s="671">
        <f t="shared" si="191"/>
        <v>4500</v>
      </c>
      <c r="F363" s="671"/>
      <c r="G363" s="676"/>
      <c r="H363" s="671">
        <f t="shared" si="192"/>
        <v>4500</v>
      </c>
      <c r="I363" s="671"/>
      <c r="J363" s="676"/>
      <c r="K363" s="671">
        <f t="shared" si="193"/>
        <v>4500</v>
      </c>
      <c r="L363" s="671"/>
      <c r="M363" s="676"/>
      <c r="N363" s="671">
        <f t="shared" si="194"/>
        <v>4500</v>
      </c>
      <c r="O363" s="671"/>
      <c r="P363" s="676"/>
      <c r="Q363" s="68"/>
      <c r="R363" s="68"/>
      <c r="S363" s="118"/>
      <c r="T363" s="177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</row>
    <row r="364" spans="1:34">
      <c r="A364" s="118"/>
      <c r="B364" s="669">
        <v>64</v>
      </c>
      <c r="C364" s="672">
        <f>C419</f>
        <v>29.999994000001202</v>
      </c>
      <c r="D364" s="671" t="s">
        <v>88</v>
      </c>
      <c r="E364" s="323">
        <f t="shared" si="191"/>
        <v>5000</v>
      </c>
      <c r="F364" s="323"/>
      <c r="G364" s="396"/>
      <c r="H364" s="323">
        <f t="shared" si="192"/>
        <v>5000</v>
      </c>
      <c r="I364" s="323"/>
      <c r="J364" s="396"/>
      <c r="K364" s="323">
        <f t="shared" si="193"/>
        <v>5000</v>
      </c>
      <c r="L364" s="323"/>
      <c r="M364" s="396"/>
      <c r="N364" s="323">
        <f t="shared" si="194"/>
        <v>5000</v>
      </c>
      <c r="O364" s="323"/>
      <c r="P364" s="396"/>
      <c r="Q364" s="68"/>
      <c r="R364" s="68"/>
      <c r="S364" s="118"/>
      <c r="T364" s="177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</row>
    <row r="365" spans="1:34">
      <c r="A365" s="118"/>
      <c r="B365" s="496"/>
      <c r="C365" s="489"/>
      <c r="D365" s="323"/>
      <c r="E365" s="323">
        <f t="shared" si="191"/>
        <v>0</v>
      </c>
      <c r="F365" s="323"/>
      <c r="G365" s="396"/>
      <c r="H365" s="323">
        <f t="shared" si="192"/>
        <v>0</v>
      </c>
      <c r="I365" s="323"/>
      <c r="J365" s="396"/>
      <c r="K365" s="323">
        <f t="shared" si="193"/>
        <v>0</v>
      </c>
      <c r="L365" s="323"/>
      <c r="M365" s="396"/>
      <c r="N365" s="323">
        <f t="shared" si="194"/>
        <v>0</v>
      </c>
      <c r="O365" s="323"/>
      <c r="P365" s="396"/>
      <c r="Q365" s="68"/>
      <c r="R365" s="68"/>
      <c r="S365" s="118"/>
      <c r="T365" s="177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</row>
    <row r="366" spans="1:34">
      <c r="A366" s="118"/>
      <c r="B366" s="494"/>
      <c r="C366" s="503"/>
      <c r="D366" s="398" t="s">
        <v>124</v>
      </c>
      <c r="E366" s="398">
        <f t="shared" si="191"/>
        <v>475467.7071753919</v>
      </c>
      <c r="F366" s="398"/>
      <c r="G366" s="399"/>
      <c r="H366" s="398">
        <f t="shared" si="192"/>
        <v>434137.39150910557</v>
      </c>
      <c r="I366" s="398"/>
      <c r="J366" s="399"/>
      <c r="K366" s="398">
        <f t="shared" si="193"/>
        <v>367559.54553530231</v>
      </c>
      <c r="L366" s="398"/>
      <c r="M366" s="399"/>
      <c r="N366" s="398">
        <f t="shared" si="194"/>
        <v>342125.50512527995</v>
      </c>
      <c r="O366" s="398"/>
      <c r="P366" s="399"/>
      <c r="Q366" s="68"/>
      <c r="R366" s="68"/>
      <c r="S366" s="118"/>
      <c r="T366" s="177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</row>
    <row r="367" spans="1:34">
      <c r="A367" s="118"/>
      <c r="B367" s="485">
        <v>440</v>
      </c>
      <c r="C367" s="504"/>
      <c r="D367" s="323" t="s">
        <v>90</v>
      </c>
      <c r="E367" s="540">
        <v>0</v>
      </c>
      <c r="F367" s="323">
        <f t="shared" ref="F367" si="195">F422</f>
        <v>0</v>
      </c>
      <c r="G367" s="396"/>
      <c r="H367" s="540">
        <v>0</v>
      </c>
      <c r="I367" s="323">
        <f t="shared" ref="I367" si="196">I422</f>
        <v>0</v>
      </c>
      <c r="J367" s="396"/>
      <c r="K367" s="540">
        <v>0</v>
      </c>
      <c r="L367" s="323">
        <f t="shared" ref="L367" si="197">L422</f>
        <v>0</v>
      </c>
      <c r="M367" s="396"/>
      <c r="N367" s="540">
        <v>0</v>
      </c>
      <c r="O367" s="323">
        <f t="shared" ref="O367" si="198">O422</f>
        <v>0</v>
      </c>
      <c r="P367" s="396"/>
      <c r="Q367" s="68"/>
      <c r="R367" s="68"/>
      <c r="S367" s="118"/>
      <c r="T367" s="177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</row>
    <row r="368" spans="1:34">
      <c r="A368" s="118"/>
      <c r="B368" s="494">
        <v>502</v>
      </c>
      <c r="C368" s="564">
        <v>0.16</v>
      </c>
      <c r="D368" s="324" t="s">
        <v>125</v>
      </c>
      <c r="E368" s="324"/>
      <c r="F368" s="186">
        <f>F423</f>
        <v>-71215.313148062705</v>
      </c>
      <c r="G368" s="400"/>
      <c r="H368" s="324"/>
      <c r="I368" s="186">
        <f>I423</f>
        <v>-64602.462641456892</v>
      </c>
      <c r="J368" s="400"/>
      <c r="K368" s="324"/>
      <c r="L368" s="186">
        <f>L423</f>
        <v>-54937.527285648372</v>
      </c>
      <c r="M368" s="400"/>
      <c r="N368" s="324"/>
      <c r="O368" s="186">
        <f>O423</f>
        <v>-50868.080820044794</v>
      </c>
      <c r="P368" s="400"/>
      <c r="Q368" s="68"/>
      <c r="R368" s="68"/>
      <c r="S368" s="118"/>
      <c r="T368" s="177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</row>
    <row r="369" spans="1:34">
      <c r="A369" s="118"/>
      <c r="B369" s="494">
        <v>505</v>
      </c>
      <c r="C369" s="494">
        <v>0.03</v>
      </c>
      <c r="D369" s="324" t="s">
        <v>126</v>
      </c>
      <c r="E369" s="324"/>
      <c r="F369" s="186">
        <f>F424</f>
        <v>-13352.871215261757</v>
      </c>
      <c r="G369" s="400"/>
      <c r="H369" s="324"/>
      <c r="I369" s="186">
        <f>I424</f>
        <v>-12112.961745273167</v>
      </c>
      <c r="J369" s="400"/>
      <c r="K369" s="324"/>
      <c r="L369" s="186">
        <f>L424</f>
        <v>-10300.786366059068</v>
      </c>
      <c r="M369" s="400"/>
      <c r="N369" s="324"/>
      <c r="O369" s="186">
        <f>O424</f>
        <v>-9537.7651537583988</v>
      </c>
      <c r="P369" s="400"/>
      <c r="Q369" s="68"/>
      <c r="R369" s="68"/>
      <c r="S369" s="118"/>
      <c r="T369" s="177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</row>
    <row r="370" spans="1:34">
      <c r="A370" s="118"/>
      <c r="B370" s="505">
        <v>332</v>
      </c>
      <c r="C370" s="527">
        <v>0</v>
      </c>
      <c r="D370" s="326" t="s">
        <v>94</v>
      </c>
      <c r="E370" s="326"/>
      <c r="F370" s="322">
        <f>F425</f>
        <v>0</v>
      </c>
      <c r="G370" s="401"/>
      <c r="H370" s="326"/>
      <c r="I370" s="322">
        <f>I425</f>
        <v>0</v>
      </c>
      <c r="J370" s="401"/>
      <c r="K370" s="326"/>
      <c r="L370" s="322">
        <f>L425</f>
        <v>0</v>
      </c>
      <c r="M370" s="401"/>
      <c r="N370" s="326"/>
      <c r="O370" s="322">
        <f>O425</f>
        <v>0</v>
      </c>
      <c r="P370" s="401"/>
      <c r="Q370" s="68"/>
      <c r="R370" s="68"/>
      <c r="S370" s="118"/>
      <c r="T370" s="177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</row>
    <row r="371" spans="1:34">
      <c r="A371" s="118"/>
      <c r="B371" s="498" t="s">
        <v>95</v>
      </c>
      <c r="C371" s="522">
        <v>0</v>
      </c>
      <c r="D371" s="328"/>
      <c r="E371" s="328"/>
      <c r="F371" s="328">
        <f>F426</f>
        <v>0</v>
      </c>
      <c r="G371" s="395"/>
      <c r="H371" s="328"/>
      <c r="I371" s="328">
        <f>I426</f>
        <v>0</v>
      </c>
      <c r="J371" s="395"/>
      <c r="K371" s="328"/>
      <c r="L371" s="328">
        <f>L426</f>
        <v>0</v>
      </c>
      <c r="M371" s="395"/>
      <c r="N371" s="328"/>
      <c r="O371" s="328">
        <f>O426</f>
        <v>0</v>
      </c>
      <c r="P371" s="395"/>
      <c r="Q371" s="68"/>
      <c r="R371" s="68"/>
      <c r="S371" s="118"/>
      <c r="T371" s="177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</row>
    <row r="372" spans="1:34">
      <c r="A372" s="118"/>
      <c r="B372" s="402"/>
      <c r="C372" s="402"/>
      <c r="D372" s="403" t="s">
        <v>96</v>
      </c>
      <c r="E372" s="403"/>
      <c r="F372" s="403">
        <f>F427</f>
        <v>-84568.184363324457</v>
      </c>
      <c r="G372" s="404"/>
      <c r="H372" s="403"/>
      <c r="I372" s="403">
        <f>I427</f>
        <v>-76715.424386730054</v>
      </c>
      <c r="J372" s="404"/>
      <c r="K372" s="403"/>
      <c r="L372" s="403">
        <f>L427</f>
        <v>-65238.313651707438</v>
      </c>
      <c r="M372" s="404"/>
      <c r="N372" s="403"/>
      <c r="O372" s="403">
        <f>O427</f>
        <v>-60405.845973803196</v>
      </c>
      <c r="P372" s="404"/>
      <c r="Q372" s="68"/>
      <c r="R372" s="68"/>
      <c r="S372" s="118"/>
      <c r="T372" s="177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</row>
    <row r="373" spans="1:34">
      <c r="A373" s="118"/>
      <c r="B373" s="405"/>
      <c r="C373" s="405"/>
      <c r="D373" s="405"/>
      <c r="E373" s="405"/>
      <c r="F373" s="405"/>
      <c r="G373" s="406"/>
      <c r="H373" s="405"/>
      <c r="I373" s="405"/>
      <c r="J373" s="406"/>
      <c r="K373" s="405"/>
      <c r="L373" s="405"/>
      <c r="M373" s="406"/>
      <c r="N373" s="405"/>
      <c r="O373" s="405"/>
      <c r="P373" s="406"/>
      <c r="Q373" s="68"/>
      <c r="R373" s="118"/>
      <c r="S373" s="177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</row>
    <row r="374" spans="1:34">
      <c r="A374" s="118"/>
      <c r="B374" s="222"/>
      <c r="C374" s="60"/>
      <c r="D374" s="68"/>
      <c r="E374" s="340" t="str">
        <f t="shared" ref="E374:F374" si="199">E429</f>
        <v>Sueldo líquido</v>
      </c>
      <c r="F374" s="607">
        <f t="shared" si="199"/>
        <v>390899.52281206741</v>
      </c>
      <c r="G374" s="347"/>
      <c r="H374" s="340" t="str">
        <f t="shared" ref="H374:I374" si="200">H429</f>
        <v>Sueldo líquido</v>
      </c>
      <c r="I374" s="607">
        <f t="shared" si="200"/>
        <v>357421.9671223755</v>
      </c>
      <c r="J374" s="347"/>
      <c r="K374" s="340" t="str">
        <f t="shared" ref="K374:L374" si="201">K429</f>
        <v>Sueldo líquido</v>
      </c>
      <c r="L374" s="607">
        <f t="shared" si="201"/>
        <v>302321.23188359488</v>
      </c>
      <c r="M374" s="347"/>
      <c r="N374" s="340" t="str">
        <f t="shared" ref="N374:O374" si="202">N429</f>
        <v>Sueldo líquido</v>
      </c>
      <c r="O374" s="607">
        <f t="shared" si="202"/>
        <v>281719.65915147675</v>
      </c>
      <c r="P374" s="347"/>
      <c r="Q374" s="68"/>
      <c r="R374" s="68"/>
      <c r="S374" s="118"/>
      <c r="T374" s="177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</row>
    <row r="375" spans="1:34" ht="16.5" thickBot="1">
      <c r="A375" s="118"/>
      <c r="B375" s="222"/>
      <c r="C375" s="60"/>
      <c r="D375" s="68"/>
      <c r="E375" s="198"/>
      <c r="F375" s="541"/>
      <c r="G375" s="347"/>
      <c r="H375" s="198"/>
      <c r="I375" s="541"/>
      <c r="J375" s="347"/>
      <c r="K375" s="198"/>
      <c r="L375" s="541"/>
      <c r="M375" s="347"/>
      <c r="N375" s="198"/>
      <c r="O375" s="541"/>
      <c r="P375" s="347"/>
      <c r="Q375" s="68"/>
      <c r="R375" s="68"/>
      <c r="S375" s="118"/>
      <c r="T375" s="177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</row>
    <row r="376" spans="1:34">
      <c r="A376" s="118"/>
      <c r="B376" s="222"/>
      <c r="C376" s="60"/>
      <c r="D376" s="68"/>
      <c r="E376" s="196" t="str">
        <f t="shared" ref="E376:F376" si="203">E431</f>
        <v>Aumento del mes</v>
      </c>
      <c r="F376" s="608">
        <f t="shared" si="203"/>
        <v>33477.555689691915</v>
      </c>
      <c r="G376" s="347"/>
      <c r="H376" s="196" t="str">
        <f t="shared" ref="H376:I376" si="204">H431</f>
        <v>Aumento del mes</v>
      </c>
      <c r="I376" s="608">
        <f t="shared" si="204"/>
        <v>55100.735238780617</v>
      </c>
      <c r="J376" s="347"/>
      <c r="K376" s="196" t="str">
        <f t="shared" ref="K376:L376" si="205">K431</f>
        <v>Aumento del mes</v>
      </c>
      <c r="L376" s="608">
        <f t="shared" si="205"/>
        <v>20601.572732118133</v>
      </c>
      <c r="M376" s="347"/>
      <c r="N376" s="196" t="str">
        <f t="shared" ref="N376:O376" si="206">N431</f>
        <v>Aumento del mes</v>
      </c>
      <c r="O376" s="608">
        <f t="shared" si="206"/>
        <v>0</v>
      </c>
      <c r="P376" s="347"/>
      <c r="Q376" s="68"/>
      <c r="R376" s="68"/>
      <c r="S376" s="118"/>
      <c r="T376" s="177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</row>
    <row r="377" spans="1:34" ht="16.5" thickBot="1">
      <c r="A377" s="118"/>
      <c r="B377" s="222"/>
      <c r="C377" s="60"/>
      <c r="D377" s="68"/>
      <c r="E377" s="197" t="str">
        <f t="shared" ref="E377:F377" si="207">E432</f>
        <v>Porc resp a anterior</v>
      </c>
      <c r="F377" s="511">
        <f t="shared" si="207"/>
        <v>9.3663956804954138E-2</v>
      </c>
      <c r="G377" s="347"/>
      <c r="H377" s="197" t="str">
        <f t="shared" ref="H377:I377" si="208">H432</f>
        <v>Porc resp a anterior</v>
      </c>
      <c r="I377" s="511">
        <f t="shared" si="208"/>
        <v>0.18225890022833885</v>
      </c>
      <c r="J377" s="347"/>
      <c r="K377" s="197" t="str">
        <f t="shared" ref="K377:L377" si="209">K432</f>
        <v>Porc resp a anterior</v>
      </c>
      <c r="L377" s="511">
        <f t="shared" si="209"/>
        <v>7.3127920125165821E-2</v>
      </c>
      <c r="M377" s="347"/>
      <c r="N377" s="197" t="str">
        <f t="shared" ref="N377:O377" si="210">N432</f>
        <v>Porc resp a anterior</v>
      </c>
      <c r="O377" s="511">
        <f t="shared" si="210"/>
        <v>0</v>
      </c>
      <c r="P377" s="347"/>
      <c r="Q377" s="68"/>
      <c r="R377" s="68"/>
      <c r="S377" s="118"/>
      <c r="T377" s="177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</row>
    <row r="378" spans="1:34" ht="16.5" thickBot="1">
      <c r="A378" s="118"/>
      <c r="B378" s="60"/>
      <c r="C378" s="531"/>
      <c r="D378" s="625"/>
      <c r="E378" s="198"/>
      <c r="F378" s="198"/>
      <c r="G378" s="192"/>
      <c r="H378" s="198"/>
      <c r="I378" s="198"/>
      <c r="J378" s="192"/>
      <c r="K378" s="198"/>
      <c r="L378" s="198"/>
      <c r="M378" s="192"/>
      <c r="N378" s="198"/>
      <c r="O378" s="198"/>
      <c r="P378" s="192"/>
      <c r="Q378" s="68"/>
      <c r="R378" s="68"/>
      <c r="S378" s="118"/>
      <c r="T378" s="177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</row>
    <row r="379" spans="1:34">
      <c r="A379" s="118"/>
      <c r="B379" s="125"/>
      <c r="C379" s="563"/>
      <c r="D379" s="626"/>
      <c r="E379" s="631" t="str">
        <f>E434</f>
        <v>Aumento acumulado</v>
      </c>
      <c r="F379" s="609">
        <f>F434</f>
        <v>109179.86366059066</v>
      </c>
      <c r="G379" s="349"/>
      <c r="H379" s="631" t="str">
        <f>H434</f>
        <v>Aumento acumulado</v>
      </c>
      <c r="I379" s="609">
        <f>I434</f>
        <v>75702.30797089875</v>
      </c>
      <c r="J379" s="349"/>
      <c r="K379" s="631" t="str">
        <f>K434</f>
        <v>Aumento acumulado</v>
      </c>
      <c r="L379" s="609">
        <f>L434</f>
        <v>20601.572732118133</v>
      </c>
      <c r="M379" s="349"/>
      <c r="N379" s="631" t="str">
        <f>N434</f>
        <v>Aumento acumulado</v>
      </c>
      <c r="O379" s="609">
        <f>O434</f>
        <v>0</v>
      </c>
      <c r="P379" s="349"/>
      <c r="Q379" s="68"/>
      <c r="R379" s="68"/>
      <c r="S379" s="118"/>
      <c r="T379" s="177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</row>
    <row r="380" spans="1:34" ht="18.75" thickBot="1">
      <c r="A380" s="118"/>
      <c r="B380" s="125"/>
      <c r="C380" s="563"/>
      <c r="D380" s="627"/>
      <c r="E380" s="632" t="str">
        <f>E435</f>
        <v>Porcentaje acumulado</v>
      </c>
      <c r="F380" s="510">
        <f>F435</f>
        <v>0.38754790485489748</v>
      </c>
      <c r="G380" s="349"/>
      <c r="H380" s="632" t="str">
        <f>H435</f>
        <v>Porcentaje acumulado</v>
      </c>
      <c r="I380" s="510">
        <f>I435</f>
        <v>0.2687150346515032</v>
      </c>
      <c r="J380" s="349"/>
      <c r="K380" s="632" t="str">
        <f>K435</f>
        <v>Porcentaje acumulado</v>
      </c>
      <c r="L380" s="510">
        <f>L435</f>
        <v>7.3127920125165821E-2</v>
      </c>
      <c r="M380" s="349"/>
      <c r="N380" s="632" t="str">
        <f>N435</f>
        <v>Porcentaje acumulado</v>
      </c>
      <c r="O380" s="510">
        <f>O435</f>
        <v>0</v>
      </c>
      <c r="P380" s="349"/>
      <c r="Q380" s="68"/>
      <c r="R380" s="68"/>
      <c r="S380" s="118"/>
      <c r="T380" s="177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</row>
    <row r="381" spans="1:34" ht="16.5" thickBot="1">
      <c r="A381" s="118"/>
      <c r="B381" s="125"/>
      <c r="C381" s="563"/>
      <c r="D381" s="628"/>
      <c r="E381" s="198"/>
      <c r="F381" s="198"/>
      <c r="G381" s="349"/>
      <c r="H381" s="198"/>
      <c r="I381" s="198"/>
      <c r="J381" s="349"/>
      <c r="K381" s="198"/>
      <c r="L381" s="198"/>
      <c r="M381" s="349"/>
      <c r="N381" s="198"/>
      <c r="O381" s="198"/>
      <c r="P381" s="349"/>
      <c r="Q381" s="177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</row>
    <row r="382" spans="1:34">
      <c r="A382" s="118"/>
      <c r="B382" s="60"/>
      <c r="C382" s="531"/>
      <c r="D382" s="628"/>
      <c r="E382" s="633" t="str">
        <f>E437</f>
        <v>Aumento provincial</v>
      </c>
      <c r="F382" s="645">
        <f>F437</f>
        <v>103007.86366059066</v>
      </c>
      <c r="G382" s="192"/>
      <c r="H382" s="633" t="str">
        <f>H437</f>
        <v>Aumento provincial</v>
      </c>
      <c r="I382" s="645">
        <f>I437</f>
        <v>69530.30797089875</v>
      </c>
      <c r="J382" s="192"/>
      <c r="K382" s="633" t="str">
        <f>K437</f>
        <v>Aumento provincial</v>
      </c>
      <c r="L382" s="645">
        <f>L437</f>
        <v>20601.572732118133</v>
      </c>
      <c r="M382" s="192"/>
      <c r="N382" s="633" t="str">
        <f>N437</f>
        <v>Aumento provincial</v>
      </c>
      <c r="O382" s="645">
        <f>O437</f>
        <v>0</v>
      </c>
      <c r="P382" s="192"/>
      <c r="Q382" s="68"/>
      <c r="R382" s="68"/>
      <c r="S382" s="118"/>
      <c r="T382" s="177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</row>
    <row r="383" spans="1:34" ht="16.5" thickBot="1">
      <c r="A383" s="118"/>
      <c r="B383" s="60"/>
      <c r="C383" s="60"/>
      <c r="D383" s="60"/>
      <c r="E383" s="203" t="str">
        <f>E438</f>
        <v>Porcentaje provincial</v>
      </c>
      <c r="F383" s="646">
        <f>F438</f>
        <v>0.39999999999999986</v>
      </c>
      <c r="G383" s="192"/>
      <c r="H383" s="203" t="str">
        <f>H438</f>
        <v>Porcentaje provincial</v>
      </c>
      <c r="I383" s="646">
        <f>I438</f>
        <v>0.27000000000000013</v>
      </c>
      <c r="J383" s="192"/>
      <c r="K383" s="203" t="str">
        <f>K438</f>
        <v>Porcentaje provincial</v>
      </c>
      <c r="L383" s="646">
        <f>L438</f>
        <v>7.9999999999999974E-2</v>
      </c>
      <c r="M383" s="192"/>
      <c r="N383" s="203" t="str">
        <f>N438</f>
        <v>Porcentaje provincial</v>
      </c>
      <c r="O383" s="646">
        <f>O438</f>
        <v>0</v>
      </c>
      <c r="P383" s="192"/>
      <c r="Q383" s="68"/>
      <c r="R383" s="68"/>
      <c r="S383" s="118"/>
      <c r="T383" s="177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  <c r="AG383" s="118"/>
      <c r="AH383" s="118"/>
    </row>
    <row r="384" spans="1:34" ht="16.5" thickBot="1">
      <c r="A384" s="118"/>
      <c r="B384" s="60"/>
      <c r="C384" s="60"/>
      <c r="D384" s="60"/>
      <c r="E384" s="198"/>
      <c r="F384" s="198"/>
      <c r="G384" s="192"/>
      <c r="H384" s="198"/>
      <c r="I384" s="198"/>
      <c r="J384" s="192"/>
      <c r="K384" s="198"/>
      <c r="L384" s="198"/>
      <c r="M384" s="192"/>
      <c r="N384" s="198"/>
      <c r="O384" s="198"/>
      <c r="P384" s="192"/>
      <c r="Q384" s="68"/>
      <c r="R384" s="68"/>
      <c r="S384" s="118"/>
      <c r="T384" s="177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</row>
    <row r="385" spans="1:34" ht="16.5" thickTop="1">
      <c r="A385" s="118"/>
      <c r="B385" s="60"/>
      <c r="C385" s="60"/>
      <c r="D385" s="60"/>
      <c r="E385" s="204" t="str">
        <f t="shared" ref="E385:E391" si="211">E440</f>
        <v>Medio Aguinaldo</v>
      </c>
      <c r="F385" s="205"/>
      <c r="G385" s="192"/>
      <c r="H385" s="204" t="str">
        <f t="shared" ref="H385:H391" si="212">H440</f>
        <v>Medio Aguinaldo</v>
      </c>
      <c r="I385" s="205"/>
      <c r="J385" s="192"/>
      <c r="K385" s="204" t="str">
        <f t="shared" ref="K385:K391" si="213">K440</f>
        <v>Medio Aguinaldo</v>
      </c>
      <c r="L385" s="205"/>
      <c r="M385" s="192"/>
      <c r="N385" s="204" t="str">
        <f t="shared" ref="N385:N391" si="214">N440</f>
        <v>Medio Aguinaldo</v>
      </c>
      <c r="O385" s="205"/>
      <c r="P385" s="192"/>
      <c r="Q385" s="68"/>
      <c r="R385" s="68"/>
      <c r="S385" s="118"/>
      <c r="T385" s="177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</row>
    <row r="386" spans="1:34">
      <c r="A386" s="118"/>
      <c r="B386" s="60"/>
      <c r="C386" s="60"/>
      <c r="D386" s="60"/>
      <c r="E386" s="407" t="str">
        <f t="shared" si="211"/>
        <v>código 100</v>
      </c>
      <c r="F386" s="408">
        <f>F441</f>
        <v>222547.85358769595</v>
      </c>
      <c r="G386" s="192"/>
      <c r="H386" s="407" t="str">
        <f t="shared" si="212"/>
        <v>código 100</v>
      </c>
      <c r="I386" s="408">
        <f>I441</f>
        <v>201882.69575455278</v>
      </c>
      <c r="J386" s="192"/>
      <c r="K386" s="407" t="str">
        <f t="shared" si="213"/>
        <v>código 100</v>
      </c>
      <c r="L386" s="408">
        <f>L441</f>
        <v>171679.77276765116</v>
      </c>
      <c r="M386" s="192"/>
      <c r="N386" s="407" t="str">
        <f t="shared" si="214"/>
        <v>código 100</v>
      </c>
      <c r="O386" s="408">
        <f>O441</f>
        <v>158962.75256263997</v>
      </c>
      <c r="P386" s="192"/>
      <c r="Q386" s="177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</row>
    <row r="387" spans="1:34">
      <c r="A387" s="118"/>
      <c r="B387" s="60"/>
      <c r="C387" s="60"/>
      <c r="D387" s="60"/>
      <c r="E387" s="409" t="str">
        <f t="shared" si="211"/>
        <v>código 186 (No remun)</v>
      </c>
      <c r="F387" s="410">
        <f>F442</f>
        <v>0</v>
      </c>
      <c r="G387" s="192"/>
      <c r="H387" s="409" t="str">
        <f t="shared" si="212"/>
        <v>código 186 (No remun)</v>
      </c>
      <c r="I387" s="410">
        <f>I442</f>
        <v>0</v>
      </c>
      <c r="J387" s="192"/>
      <c r="K387" s="409" t="str">
        <f t="shared" si="213"/>
        <v>código 186 (No remun)</v>
      </c>
      <c r="L387" s="410">
        <f>L442</f>
        <v>0</v>
      </c>
      <c r="M387" s="192"/>
      <c r="N387" s="409" t="str">
        <f t="shared" si="214"/>
        <v>código 186 (No remun)</v>
      </c>
      <c r="O387" s="410">
        <f>O442</f>
        <v>0</v>
      </c>
      <c r="P387" s="192"/>
      <c r="Q387" s="177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</row>
    <row r="388" spans="1:34">
      <c r="A388" s="118"/>
      <c r="B388" s="60"/>
      <c r="C388" s="60"/>
      <c r="D388" s="60"/>
      <c r="E388" s="411" t="str">
        <f t="shared" si="211"/>
        <v>Líquido</v>
      </c>
      <c r="F388" s="412">
        <f>F443</f>
        <v>178928.47428450757</v>
      </c>
      <c r="G388" s="192"/>
      <c r="H388" s="411" t="str">
        <f t="shared" si="212"/>
        <v>Líquido</v>
      </c>
      <c r="I388" s="412">
        <f>I443</f>
        <v>162313.68738666046</v>
      </c>
      <c r="J388" s="192"/>
      <c r="K388" s="411" t="str">
        <f t="shared" si="213"/>
        <v>Líquido</v>
      </c>
      <c r="L388" s="412">
        <f>L443</f>
        <v>138030.53730519154</v>
      </c>
      <c r="M388" s="192"/>
      <c r="N388" s="411" t="str">
        <f t="shared" si="214"/>
        <v>Líquido</v>
      </c>
      <c r="O388" s="412">
        <f>O443</f>
        <v>127806.05306036255</v>
      </c>
      <c r="P388" s="192"/>
      <c r="Q388" s="177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</row>
    <row r="389" spans="1:34">
      <c r="A389" s="118"/>
      <c r="B389" s="60"/>
      <c r="C389" s="60"/>
      <c r="D389" s="60"/>
      <c r="E389" s="409" t="str">
        <f t="shared" si="211"/>
        <v>Descuentos con aguinaldo</v>
      </c>
      <c r="F389" s="410"/>
      <c r="G389" s="192"/>
      <c r="H389" s="409" t="str">
        <f t="shared" si="212"/>
        <v>Descuentos con aguinaldo</v>
      </c>
      <c r="I389" s="410"/>
      <c r="J389" s="192"/>
      <c r="K389" s="409" t="str">
        <f t="shared" si="213"/>
        <v>Descuentos con aguinaldo</v>
      </c>
      <c r="L389" s="410"/>
      <c r="M389" s="192"/>
      <c r="N389" s="409" t="str">
        <f t="shared" si="214"/>
        <v>Descuentos con aguinaldo</v>
      </c>
      <c r="O389" s="410"/>
      <c r="P389" s="192"/>
      <c r="Q389" s="177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</row>
    <row r="390" spans="1:34">
      <c r="A390" s="118"/>
      <c r="B390" s="60"/>
      <c r="C390" s="60"/>
      <c r="D390" s="60"/>
      <c r="E390" s="411">
        <f t="shared" si="211"/>
        <v>502</v>
      </c>
      <c r="F390" s="412">
        <f>F445</f>
        <v>-106822.96972209406</v>
      </c>
      <c r="G390" s="192"/>
      <c r="H390" s="411">
        <f t="shared" si="212"/>
        <v>502</v>
      </c>
      <c r="I390" s="412">
        <f>I445</f>
        <v>-96903.693962185353</v>
      </c>
      <c r="J390" s="192"/>
      <c r="K390" s="411">
        <f t="shared" si="213"/>
        <v>502</v>
      </c>
      <c r="L390" s="412">
        <f>L445</f>
        <v>-82406.290928472561</v>
      </c>
      <c r="M390" s="192"/>
      <c r="N390" s="411">
        <f t="shared" si="214"/>
        <v>502</v>
      </c>
      <c r="O390" s="412">
        <f>O445</f>
        <v>-76302.12123006719</v>
      </c>
      <c r="P390" s="192"/>
      <c r="Q390" s="177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</row>
    <row r="391" spans="1:34" ht="15">
      <c r="A391" s="118"/>
      <c r="B391" s="60"/>
      <c r="C391" s="60"/>
      <c r="D391" s="60"/>
      <c r="E391" s="411">
        <f t="shared" si="211"/>
        <v>505</v>
      </c>
      <c r="F391" s="412">
        <f>F446</f>
        <v>-20029.306822892635</v>
      </c>
      <c r="G391" s="192"/>
      <c r="H391" s="411">
        <f t="shared" si="212"/>
        <v>505</v>
      </c>
      <c r="I391" s="412">
        <f>I446</f>
        <v>-18169.44261790975</v>
      </c>
      <c r="J391" s="192"/>
      <c r="K391" s="411">
        <f t="shared" si="213"/>
        <v>505</v>
      </c>
      <c r="L391" s="412">
        <f>L446</f>
        <v>-15451.179549088605</v>
      </c>
      <c r="M391" s="192"/>
      <c r="N391" s="411">
        <f t="shared" si="214"/>
        <v>505</v>
      </c>
      <c r="O391" s="412">
        <f>O446</f>
        <v>-14306.647730637596</v>
      </c>
      <c r="P391" s="192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</row>
    <row r="392" spans="1:34" ht="15">
      <c r="A392" s="118"/>
      <c r="B392" s="60"/>
      <c r="C392" s="60"/>
      <c r="D392" s="60"/>
      <c r="E392" s="409"/>
      <c r="F392" s="410"/>
      <c r="G392" s="192"/>
      <c r="H392" s="409"/>
      <c r="I392" s="410"/>
      <c r="J392" s="192"/>
      <c r="K392" s="409"/>
      <c r="L392" s="410"/>
      <c r="M392" s="192"/>
      <c r="N392" s="409"/>
      <c r="O392" s="410"/>
      <c r="P392" s="192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</row>
    <row r="393" spans="1:34" ht="15">
      <c r="A393" s="118"/>
      <c r="B393" s="60"/>
      <c r="C393" s="60"/>
      <c r="D393" s="60"/>
      <c r="E393" s="411" t="str">
        <f t="shared" ref="E393" si="215">E448</f>
        <v>Sueldo líquido incluyendo aguinaldo</v>
      </c>
      <c r="F393" s="412"/>
      <c r="G393" s="192"/>
      <c r="H393" s="411" t="str">
        <f t="shared" ref="H393" si="216">H448</f>
        <v>Sueldo líquido incluyendo aguinaldo</v>
      </c>
      <c r="I393" s="412"/>
      <c r="J393" s="192"/>
      <c r="K393" s="411" t="str">
        <f t="shared" ref="K393" si="217">K448</f>
        <v>Sueldo líquido incluyendo aguinaldo</v>
      </c>
      <c r="L393" s="412"/>
      <c r="M393" s="192"/>
      <c r="N393" s="411" t="str">
        <f t="shared" ref="N393" si="218">N448</f>
        <v>Sueldo líquido incluyendo aguinaldo</v>
      </c>
      <c r="O393" s="412"/>
      <c r="P393" s="192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</row>
    <row r="394" spans="1:34" ht="15">
      <c r="A394" s="118"/>
      <c r="B394" s="60"/>
      <c r="C394" s="60"/>
      <c r="D394" s="60"/>
      <c r="E394" s="409"/>
      <c r="F394" s="413">
        <f t="shared" ref="F394" si="219">F449</f>
        <v>571163.28421810118</v>
      </c>
      <c r="G394" s="192"/>
      <c r="H394" s="409"/>
      <c r="I394" s="413">
        <f t="shared" ref="I394" si="220">I449</f>
        <v>520946.95068356325</v>
      </c>
      <c r="J394" s="192"/>
      <c r="K394" s="409"/>
      <c r="L394" s="413">
        <f t="shared" ref="L394" si="221">L449</f>
        <v>441381.84782539238</v>
      </c>
      <c r="M394" s="192"/>
      <c r="N394" s="409"/>
      <c r="O394" s="413">
        <f t="shared" ref="O394" si="222">O449</f>
        <v>410479.4887272151</v>
      </c>
      <c r="P394" s="192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</row>
    <row r="395" spans="1:34">
      <c r="A395" s="118"/>
      <c r="B395" s="60"/>
      <c r="C395" s="60"/>
      <c r="D395" s="60"/>
      <c r="E395" s="414" t="str">
        <f t="shared" ref="E395" si="223">E450</f>
        <v>Aguinaldo de bolsillo</v>
      </c>
      <c r="F395" s="415"/>
      <c r="G395" s="416"/>
      <c r="H395" s="414" t="str">
        <f t="shared" ref="H395" si="224">H450</f>
        <v>Aguinaldo de bolsillo</v>
      </c>
      <c r="I395" s="415"/>
      <c r="J395" s="416"/>
      <c r="K395" s="414" t="str">
        <f t="shared" ref="K395" si="225">K450</f>
        <v>Aguinaldo de bolsillo</v>
      </c>
      <c r="L395" s="415"/>
      <c r="M395" s="416"/>
      <c r="N395" s="414" t="str">
        <f t="shared" ref="N395" si="226">N450</f>
        <v>Aguinaldo de bolsillo</v>
      </c>
      <c r="O395" s="415"/>
      <c r="P395" s="416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</row>
    <row r="396" spans="1:34" ht="16.5" thickBot="1">
      <c r="A396" s="118"/>
      <c r="B396" s="60"/>
      <c r="C396" s="60"/>
      <c r="D396" s="60"/>
      <c r="E396" s="417"/>
      <c r="F396" s="418">
        <f t="shared" ref="F396" si="227">F451</f>
        <v>180263.76140603377</v>
      </c>
      <c r="G396" s="192"/>
      <c r="H396" s="417"/>
      <c r="I396" s="418">
        <f t="shared" ref="I396" si="228">I451</f>
        <v>163524.98356118775</v>
      </c>
      <c r="J396" s="192"/>
      <c r="K396" s="417"/>
      <c r="L396" s="418">
        <f t="shared" ref="L396" si="229">L451</f>
        <v>139060.6159417975</v>
      </c>
      <c r="M396" s="192"/>
      <c r="N396" s="417"/>
      <c r="O396" s="418">
        <f t="shared" ref="O396" si="230">O451</f>
        <v>128759.82957573835</v>
      </c>
      <c r="P396" s="192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</row>
    <row r="397" spans="1:34" ht="16.5" thickTop="1">
      <c r="A397" s="118"/>
      <c r="B397" s="60"/>
      <c r="C397" s="60"/>
      <c r="D397" s="60"/>
      <c r="E397" s="60"/>
      <c r="F397" s="60"/>
      <c r="G397" s="192"/>
      <c r="H397" s="60"/>
      <c r="I397" s="60"/>
      <c r="J397" s="192"/>
      <c r="K397" s="60"/>
      <c r="L397" s="60"/>
      <c r="M397" s="192"/>
      <c r="N397" s="60"/>
      <c r="O397" s="60"/>
      <c r="P397" s="192"/>
      <c r="Q397" s="68"/>
      <c r="R397" s="118"/>
      <c r="S397" s="177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</row>
    <row r="398" spans="1:34" s="55" customFormat="1" ht="18" hidden="1">
      <c r="A398" s="54"/>
      <c r="B398" s="54"/>
      <c r="C398" s="419"/>
      <c r="D398" s="420"/>
      <c r="E398" s="40">
        <v>45047</v>
      </c>
      <c r="F398" s="693" t="s">
        <v>511</v>
      </c>
      <c r="G398" s="617"/>
      <c r="H398" s="40">
        <v>44986</v>
      </c>
      <c r="I398" s="693" t="s">
        <v>510</v>
      </c>
      <c r="J398" s="617"/>
      <c r="K398" s="40">
        <v>44958</v>
      </c>
      <c r="L398" s="744">
        <v>0.08</v>
      </c>
      <c r="M398" s="175"/>
      <c r="N398" s="40">
        <v>44896</v>
      </c>
      <c r="O398" s="693"/>
      <c r="P398" s="175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</row>
    <row r="399" spans="1:34" hidden="1">
      <c r="A399" s="118"/>
      <c r="B399" s="392"/>
      <c r="C399" s="393"/>
      <c r="D399" s="394"/>
      <c r="E399" s="394"/>
      <c r="F399" s="394"/>
      <c r="G399" s="394"/>
      <c r="H399" s="394"/>
      <c r="I399" s="394"/>
      <c r="J399" s="394"/>
      <c r="K399" s="394"/>
      <c r="L399" s="394"/>
      <c r="M399" s="394"/>
      <c r="N399" s="394"/>
      <c r="O399" s="394"/>
      <c r="P399" s="394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</row>
    <row r="400" spans="1:34" hidden="1">
      <c r="A400" s="118"/>
      <c r="B400" s="392"/>
      <c r="C400" s="393"/>
      <c r="D400" s="394"/>
      <c r="E400" s="394"/>
      <c r="F400" s="394"/>
      <c r="G400" s="394"/>
      <c r="H400" s="394"/>
      <c r="I400" s="394"/>
      <c r="J400" s="394"/>
      <c r="K400" s="394"/>
      <c r="L400" s="394"/>
      <c r="M400" s="394"/>
      <c r="N400" s="394"/>
      <c r="O400" s="394"/>
      <c r="P400" s="394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</row>
    <row r="401" spans="1:30" hidden="1">
      <c r="A401" s="118"/>
      <c r="B401" s="392"/>
      <c r="C401" s="393"/>
      <c r="D401" s="394"/>
      <c r="E401" s="394"/>
      <c r="F401" s="394"/>
      <c r="G401" s="394"/>
      <c r="H401" s="394"/>
      <c r="I401" s="394"/>
      <c r="J401" s="394"/>
      <c r="K401" s="394"/>
      <c r="L401" s="394"/>
      <c r="M401" s="394"/>
      <c r="N401" s="394"/>
      <c r="O401" s="394"/>
      <c r="P401" s="394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</row>
    <row r="402" spans="1:30" hidden="1">
      <c r="A402" s="118"/>
      <c r="B402" s="392"/>
      <c r="C402" s="393"/>
      <c r="D402" s="394"/>
      <c r="E402" s="394"/>
      <c r="F402" s="394"/>
      <c r="G402" s="394"/>
      <c r="H402" s="394"/>
      <c r="I402" s="394"/>
      <c r="J402" s="394"/>
      <c r="K402" s="394"/>
      <c r="L402" s="394"/>
      <c r="M402" s="394"/>
      <c r="N402" s="394"/>
      <c r="O402" s="394"/>
      <c r="P402" s="394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</row>
    <row r="403" spans="1:30" hidden="1">
      <c r="A403" s="118"/>
      <c r="B403" s="392"/>
      <c r="C403" s="393"/>
      <c r="D403" s="394"/>
      <c r="E403" s="394"/>
      <c r="F403" s="394"/>
      <c r="G403" s="394"/>
      <c r="H403" s="394"/>
      <c r="I403" s="394"/>
      <c r="J403" s="394"/>
      <c r="K403" s="394"/>
      <c r="L403" s="394"/>
      <c r="M403" s="394"/>
      <c r="N403" s="394"/>
      <c r="O403" s="394"/>
      <c r="P403" s="394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</row>
    <row r="404" spans="1:30" ht="16.5" hidden="1" thickBot="1">
      <c r="A404" s="118"/>
      <c r="B404" s="392"/>
      <c r="C404" s="393"/>
      <c r="D404" s="394"/>
      <c r="E404" s="394"/>
      <c r="F404" s="394"/>
      <c r="G404" s="394"/>
      <c r="H404" s="394"/>
      <c r="I404" s="394"/>
      <c r="J404" s="394"/>
      <c r="K404" s="394"/>
      <c r="L404" s="394"/>
      <c r="M404" s="394"/>
      <c r="N404" s="394"/>
      <c r="O404" s="394"/>
      <c r="P404" s="394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</row>
    <row r="405" spans="1:30" ht="13.5" hidden="1" thickBot="1">
      <c r="A405" s="60"/>
      <c r="B405" s="421" t="s">
        <v>62</v>
      </c>
      <c r="C405" s="421" t="s">
        <v>63</v>
      </c>
      <c r="D405" s="421" t="s">
        <v>64</v>
      </c>
      <c r="E405" s="421" t="s">
        <v>65</v>
      </c>
      <c r="F405" s="421" t="s">
        <v>66</v>
      </c>
      <c r="G405" s="422"/>
      <c r="H405" s="421" t="s">
        <v>65</v>
      </c>
      <c r="I405" s="421" t="s">
        <v>66</v>
      </c>
      <c r="J405" s="422"/>
      <c r="K405" s="421" t="s">
        <v>65</v>
      </c>
      <c r="L405" s="421" t="s">
        <v>66</v>
      </c>
      <c r="M405" s="422"/>
      <c r="N405" s="421" t="s">
        <v>65</v>
      </c>
      <c r="O405" s="421" t="s">
        <v>66</v>
      </c>
      <c r="P405" s="422"/>
      <c r="Q405" s="60"/>
      <c r="R405" s="60"/>
      <c r="S405" s="60"/>
      <c r="T405" s="60"/>
      <c r="U405" s="60"/>
      <c r="V405" s="60"/>
      <c r="W405" s="60"/>
      <c r="X405" s="60"/>
      <c r="Y405" s="60"/>
      <c r="Z405" s="60"/>
    </row>
    <row r="406" spans="1:30" hidden="1" thickBot="1">
      <c r="A406" s="60"/>
      <c r="B406" s="649">
        <v>4</v>
      </c>
      <c r="C406" s="424">
        <v>36</v>
      </c>
      <c r="D406" s="425" t="s">
        <v>118</v>
      </c>
      <c r="E406" s="426">
        <f>indiceene23*punbashorsup*Aumento3</f>
        <v>168773.17564799997</v>
      </c>
      <c r="F406" s="425"/>
      <c r="G406" s="427"/>
      <c r="H406" s="426">
        <f>indiceene23*punbashorsup*Aumento2</f>
        <v>153101.38076639999</v>
      </c>
      <c r="I406" s="425"/>
      <c r="J406" s="427"/>
      <c r="K406" s="426">
        <f>indiceene23*punbashorsup*Aumento1</f>
        <v>130196.44978559999</v>
      </c>
      <c r="L406" s="425"/>
      <c r="M406" s="427"/>
      <c r="N406" s="426">
        <f>indiceene23*punbashorsup</f>
        <v>120552.26831999999</v>
      </c>
      <c r="O406" s="425"/>
      <c r="P406" s="427"/>
      <c r="Q406" s="60"/>
      <c r="R406" s="60"/>
      <c r="S406" s="60"/>
      <c r="T406" s="60"/>
      <c r="U406" s="60"/>
      <c r="V406" s="60"/>
      <c r="W406" s="60"/>
      <c r="X406" s="60"/>
      <c r="Y406" s="60"/>
      <c r="Z406" s="60"/>
    </row>
    <row r="407" spans="1:30" ht="13.5" hidden="1" thickBot="1">
      <c r="A407" s="60"/>
      <c r="B407" s="650">
        <v>10</v>
      </c>
      <c r="C407" s="428">
        <v>1.2</v>
      </c>
      <c r="D407" s="429" t="s">
        <v>73</v>
      </c>
      <c r="E407" s="430">
        <f>E406*porantighorsup</f>
        <v>202527.81077759995</v>
      </c>
      <c r="F407" s="429"/>
      <c r="G407" s="431"/>
      <c r="H407" s="430">
        <f>H406*porantighorsup</f>
        <v>183721.65691967998</v>
      </c>
      <c r="I407" s="429"/>
      <c r="J407" s="431"/>
      <c r="K407" s="430">
        <f>K406*porantighorsup</f>
        <v>156235.73974271998</v>
      </c>
      <c r="L407" s="429"/>
      <c r="M407" s="431"/>
      <c r="N407" s="430">
        <f>N406*porantighorsup</f>
        <v>144662.72198399997</v>
      </c>
      <c r="O407" s="429"/>
      <c r="P407" s="431"/>
      <c r="Q407" s="60"/>
      <c r="R407" s="60"/>
      <c r="S407" s="60"/>
      <c r="T407" s="60"/>
      <c r="U407" s="60"/>
      <c r="V407" s="60"/>
      <c r="W407" s="60"/>
      <c r="X407" s="60"/>
      <c r="Y407" s="60"/>
      <c r="Z407" s="60"/>
    </row>
    <row r="408" spans="1:30" ht="16.5" hidden="1" thickBot="1">
      <c r="A408" s="60"/>
      <c r="B408" s="649">
        <v>6</v>
      </c>
      <c r="C408" s="432">
        <f>N408/619.1</f>
        <v>17</v>
      </c>
      <c r="D408" s="425" t="s">
        <v>72</v>
      </c>
      <c r="E408" s="426">
        <f>IF(canthor06sup&gt;17,17*619.1,619.1*canthor06sup)*Aumento3</f>
        <v>14734.58</v>
      </c>
      <c r="F408" s="425"/>
      <c r="G408" s="427"/>
      <c r="H408" s="426">
        <f>IF(canthor06sup&gt;17,17*619.1,619.1*canthor06sup)*Aumento2</f>
        <v>13366.369000000001</v>
      </c>
      <c r="I408" s="425"/>
      <c r="J408" s="427"/>
      <c r="K408" s="426">
        <f>IF(canthor06sup&gt;17,17*619.1,619.1*canthor06sup)*Aumento1</f>
        <v>11366.676000000001</v>
      </c>
      <c r="L408" s="425"/>
      <c r="M408" s="427"/>
      <c r="N408" s="426">
        <f>IF(canthor06sup&gt;17,17*619.1,619.1*canthor06sup)</f>
        <v>10524.7</v>
      </c>
      <c r="O408" s="425"/>
      <c r="P408" s="427"/>
      <c r="Q408" s="60"/>
      <c r="R408" s="60"/>
      <c r="S408" s="60"/>
      <c r="T408" s="60"/>
      <c r="U408" s="60"/>
      <c r="V408" s="60"/>
      <c r="W408" s="60"/>
      <c r="X408" s="60"/>
      <c r="Y408" s="60"/>
      <c r="Z408" s="60"/>
    </row>
    <row r="409" spans="1:30" ht="13.5" hidden="1" thickBot="1">
      <c r="A409" s="60"/>
      <c r="B409" s="650">
        <v>14</v>
      </c>
      <c r="C409" s="428">
        <v>7.0000000000000007E-2</v>
      </c>
      <c r="D409" s="429" t="s">
        <v>119</v>
      </c>
      <c r="E409" s="430">
        <f>E408*0.07</f>
        <v>1031.4206000000001</v>
      </c>
      <c r="F409" s="429"/>
      <c r="G409" s="431"/>
      <c r="H409" s="430">
        <f>H408*0.07</f>
        <v>935.64583000000016</v>
      </c>
      <c r="I409" s="429"/>
      <c r="J409" s="431"/>
      <c r="K409" s="430">
        <f>K408*0.07</f>
        <v>795.66732000000013</v>
      </c>
      <c r="L409" s="429"/>
      <c r="M409" s="431"/>
      <c r="N409" s="430">
        <f>N408*0.07</f>
        <v>736.72900000000016</v>
      </c>
      <c r="O409" s="429"/>
      <c r="P409" s="431"/>
      <c r="Q409" s="60"/>
      <c r="R409" s="60"/>
      <c r="S409" s="60"/>
      <c r="T409" s="60"/>
      <c r="U409" s="60"/>
      <c r="V409" s="60"/>
      <c r="W409" s="60"/>
      <c r="X409" s="60"/>
      <c r="Y409" s="60"/>
      <c r="Z409" s="60"/>
    </row>
    <row r="410" spans="1:30" ht="13.5" hidden="1" thickBot="1">
      <c r="A410" s="60"/>
      <c r="B410" s="650">
        <v>188</v>
      </c>
      <c r="C410" s="428">
        <v>7.0000000000000007E-2</v>
      </c>
      <c r="D410" s="429" t="s">
        <v>75</v>
      </c>
      <c r="E410" s="430">
        <f>(E406+E407+E411+E413)*0.07</f>
        <v>28086.990149792</v>
      </c>
      <c r="F410" s="429"/>
      <c r="G410" s="431"/>
      <c r="H410" s="430">
        <f>(H406+H407+H411+H413)*0.07</f>
        <v>25478.9124930256</v>
      </c>
      <c r="I410" s="429"/>
      <c r="J410" s="431"/>
      <c r="K410" s="430">
        <f>(K406+K407+K411+K413)*0.07</f>
        <v>21667.106686982399</v>
      </c>
      <c r="L410" s="429"/>
      <c r="M410" s="431"/>
      <c r="N410" s="430">
        <f>(N406+N407+N411+N413)*0.07</f>
        <v>20062.135821279997</v>
      </c>
      <c r="O410" s="429"/>
      <c r="P410" s="431"/>
      <c r="Q410" s="60"/>
      <c r="R410" s="60"/>
      <c r="S410" s="60"/>
      <c r="T410" s="60"/>
      <c r="U410" s="60"/>
      <c r="V410" s="60"/>
      <c r="W410" s="60"/>
      <c r="X410" s="60"/>
      <c r="Y410" s="60"/>
      <c r="Z410" s="60"/>
    </row>
    <row r="411" spans="1:30" ht="16.5" hidden="1" thickBot="1">
      <c r="A411" s="60"/>
      <c r="B411" s="649">
        <v>117</v>
      </c>
      <c r="C411" s="433"/>
      <c r="D411" s="425" t="s">
        <v>81</v>
      </c>
      <c r="E411" s="426">
        <f>IF(canthorsup*210.4013&gt;6312.04,6312.04,canthorsup*210.4013)*Aumento3</f>
        <v>8836.8559999999998</v>
      </c>
      <c r="F411" s="423"/>
      <c r="G411" s="427"/>
      <c r="H411" s="426">
        <f>IF(canthorsup*210.4013&gt;6312.04,6312.04,canthorsup*210.4013)*Aumento2</f>
        <v>8016.2907999999998</v>
      </c>
      <c r="I411" s="423"/>
      <c r="J411" s="427"/>
      <c r="K411" s="426">
        <f>IF(canthorsup*210.4013&gt;6312.04,6312.04,canthorsup*210.4013)*Aumento1</f>
        <v>6817.0032000000001</v>
      </c>
      <c r="L411" s="423"/>
      <c r="M411" s="427"/>
      <c r="N411" s="426">
        <f>IF(canthorsup*210.4013&gt;6312.04,6312.04,canthorsup*210.4013)</f>
        <v>6312.04</v>
      </c>
      <c r="O411" s="423"/>
      <c r="P411" s="427"/>
      <c r="Q411" s="60"/>
      <c r="R411" s="637"/>
      <c r="S411" s="60"/>
      <c r="T411" s="60"/>
      <c r="U411" s="60"/>
      <c r="V411" s="60"/>
      <c r="W411" s="60"/>
      <c r="X411" s="60"/>
      <c r="Y411" s="60"/>
      <c r="Z411" s="60"/>
    </row>
    <row r="412" spans="1:30" ht="13.5" hidden="1" thickBot="1">
      <c r="A412" s="60"/>
      <c r="B412" s="649">
        <v>29</v>
      </c>
      <c r="C412" s="423">
        <f>cantkmhs</f>
        <v>0</v>
      </c>
      <c r="D412" s="425" t="s">
        <v>82</v>
      </c>
      <c r="E412" s="426">
        <f>IF(kmsemhssup&lt;300,kmsemhssup*14.3008*4,17161)*Aumento3</f>
        <v>0</v>
      </c>
      <c r="F412" s="656"/>
      <c r="G412" s="427"/>
      <c r="H412" s="426">
        <f>IF(kmsemhssup&lt;300,kmsemhssup*14.3008*4,17161)*Aumento2</f>
        <v>0</v>
      </c>
      <c r="I412" s="656"/>
      <c r="J412" s="427"/>
      <c r="K412" s="426">
        <f>IF(kmsemhssup&lt;300,kmsemhssup*14.3008*4,17161)*Aumento1</f>
        <v>0</v>
      </c>
      <c r="L412" s="656"/>
      <c r="M412" s="427"/>
      <c r="N412" s="426">
        <f>IF(kmsemhssup&lt;300,kmsemhssup*14.3008*4,17161)</f>
        <v>0</v>
      </c>
      <c r="O412" s="656"/>
      <c r="P412" s="427"/>
      <c r="Q412" s="60"/>
      <c r="R412" s="60"/>
      <c r="S412" s="60"/>
      <c r="T412" s="60"/>
      <c r="U412" s="60"/>
      <c r="V412" s="60"/>
      <c r="W412" s="60"/>
      <c r="X412" s="60"/>
      <c r="Y412" s="60"/>
      <c r="Z412" s="60"/>
    </row>
    <row r="413" spans="1:30" ht="16.5" hidden="1" thickBot="1">
      <c r="A413" s="60"/>
      <c r="B413" s="651">
        <v>38</v>
      </c>
      <c r="C413" s="434">
        <f>C358</f>
        <v>15</v>
      </c>
      <c r="D413" s="435" t="s">
        <v>121</v>
      </c>
      <c r="E413" s="436">
        <f>IF($C413="",IF(canthorsup&lt;15,1004.994*canthorsup,15074.91),IF($C413&lt;15,1004.994*$C413,15074.91))*Aumento3</f>
        <v>21104.874</v>
      </c>
      <c r="F413" s="639"/>
      <c r="G413" s="438"/>
      <c r="H413" s="436">
        <f>IF($C413="",IF(canthorsup&lt;15,1004.994*canthorsup,15074.91),IF($C413&lt;15,1004.994*$C413,15074.91))*Aumento2</f>
        <v>19145.135699999999</v>
      </c>
      <c r="I413" s="639"/>
      <c r="J413" s="438"/>
      <c r="K413" s="436">
        <f>IF($C413="",IF(canthorsup&lt;15,1004.994*canthorsup,15074.91),IF($C413&lt;15,1004.994*$C413,15074.91))*Aumento1</f>
        <v>16280.902800000002</v>
      </c>
      <c r="L413" s="639"/>
      <c r="M413" s="438"/>
      <c r="N413" s="436">
        <f>IF($C413="",IF(canthorsup&lt;15,1004.994*canthorsup,15074.91),IF($C413&lt;15,1004.994*$C413,15074.91))</f>
        <v>15074.91</v>
      </c>
      <c r="O413" s="639"/>
      <c r="P413" s="438"/>
      <c r="Q413" s="60"/>
      <c r="R413" s="60"/>
      <c r="S413" s="60"/>
      <c r="T413" s="60"/>
      <c r="U413" s="60"/>
      <c r="V413" s="60"/>
      <c r="W413" s="60"/>
      <c r="X413" s="60"/>
      <c r="Y413" s="60"/>
      <c r="Z413" s="60"/>
    </row>
    <row r="414" spans="1:30" ht="16.5" hidden="1" thickBot="1">
      <c r="A414" s="60"/>
      <c r="B414" s="651"/>
      <c r="C414" s="439"/>
      <c r="D414" s="440" t="s">
        <v>128</v>
      </c>
      <c r="E414" s="441">
        <f>SUM(E406:E413)</f>
        <v>445095.7071753919</v>
      </c>
      <c r="F414" s="220"/>
      <c r="G414" s="442"/>
      <c r="H414" s="441">
        <f>SUM(H406:H413)</f>
        <v>403765.39150910557</v>
      </c>
      <c r="I414" s="220"/>
      <c r="J414" s="442"/>
      <c r="K414" s="441">
        <f>SUM(K406:K413)</f>
        <v>343359.54553530231</v>
      </c>
      <c r="L414" s="220"/>
      <c r="M414" s="442"/>
      <c r="N414" s="441">
        <f>SUM(N406:N413)</f>
        <v>317925.50512527995</v>
      </c>
      <c r="O414" s="220"/>
      <c r="P414" s="442"/>
      <c r="Q414" s="60"/>
      <c r="R414" s="60"/>
      <c r="S414" s="60"/>
      <c r="T414" s="60"/>
      <c r="U414" s="60"/>
      <c r="V414" s="60"/>
      <c r="W414" s="60"/>
      <c r="X414" s="60"/>
      <c r="Y414" s="60"/>
      <c r="Z414" s="60"/>
    </row>
    <row r="415" spans="1:30" ht="16.5" hidden="1" thickBot="1">
      <c r="A415" s="60"/>
      <c r="B415" s="652" t="s">
        <v>123</v>
      </c>
      <c r="C415" s="429"/>
      <c r="D415" s="429"/>
      <c r="E415" s="443">
        <f>E360</f>
        <v>0</v>
      </c>
      <c r="F415" s="429"/>
      <c r="G415" s="431"/>
      <c r="H415" s="443">
        <f>H360</f>
        <v>0</v>
      </c>
      <c r="I415" s="429"/>
      <c r="J415" s="431"/>
      <c r="K415" s="443">
        <f>K360</f>
        <v>0</v>
      </c>
      <c r="L415" s="429"/>
      <c r="M415" s="431"/>
      <c r="N415" s="443">
        <f>N360</f>
        <v>0</v>
      </c>
      <c r="O415" s="429"/>
      <c r="P415" s="431"/>
      <c r="Q415" s="60"/>
      <c r="R415" s="60"/>
      <c r="S415" s="60"/>
      <c r="T415" s="60"/>
      <c r="U415" s="60"/>
      <c r="V415" s="60"/>
      <c r="W415" s="60"/>
      <c r="X415" s="60"/>
      <c r="Y415" s="60"/>
      <c r="Z415" s="60"/>
    </row>
    <row r="416" spans="1:30" hidden="1" thickBot="1">
      <c r="A416" s="60"/>
      <c r="B416" s="652"/>
      <c r="C416" s="429"/>
      <c r="D416" s="425"/>
      <c r="E416" s="444"/>
      <c r="F416" s="429"/>
      <c r="G416" s="427"/>
      <c r="H416" s="444"/>
      <c r="I416" s="429"/>
      <c r="J416" s="427"/>
      <c r="K416" s="444"/>
      <c r="L416" s="429"/>
      <c r="M416" s="427"/>
      <c r="N416" s="444"/>
      <c r="O416" s="429"/>
      <c r="P416" s="427"/>
      <c r="Q416" s="60"/>
      <c r="R416" s="60"/>
      <c r="S416" s="60"/>
      <c r="T416" s="60"/>
      <c r="U416" s="60"/>
      <c r="V416" s="60"/>
      <c r="W416" s="60"/>
      <c r="X416" s="60"/>
      <c r="Y416" s="60"/>
      <c r="Z416" s="60"/>
    </row>
    <row r="417" spans="1:30" ht="16.5" hidden="1" thickBot="1">
      <c r="A417" s="60"/>
      <c r="B417" s="649">
        <v>84</v>
      </c>
      <c r="C417" s="432">
        <f>N417/612.5</f>
        <v>24</v>
      </c>
      <c r="D417" s="425" t="s">
        <v>86</v>
      </c>
      <c r="E417" s="426">
        <f>IF(canthorincsup*869.6667&gt;20872,20872,canthorincsup*869.6667)</f>
        <v>20872</v>
      </c>
      <c r="F417" s="323"/>
      <c r="G417" s="427"/>
      <c r="H417" s="426">
        <f>IF(canthorincsup*869.6667&gt;20872,20872,canthorincsup*869.6667)</f>
        <v>20872</v>
      </c>
      <c r="I417" s="323"/>
      <c r="J417" s="427"/>
      <c r="K417" s="426">
        <f>IF(canthorincsup*612.5&gt;14700,14700,canthorincsup*612.5)</f>
        <v>14700</v>
      </c>
      <c r="L417" s="323"/>
      <c r="M417" s="427"/>
      <c r="N417" s="426">
        <f>IF(canthorincsup*612.5&gt;14700,14700,canthorincsup*612.5)</f>
        <v>14700</v>
      </c>
      <c r="O417" s="323"/>
      <c r="P417" s="427"/>
      <c r="Q417" s="60"/>
      <c r="R417" s="60"/>
      <c r="S417" s="60"/>
      <c r="T417" s="60"/>
      <c r="U417" s="60"/>
      <c r="V417" s="60"/>
      <c r="W417" s="60"/>
      <c r="X417" s="60"/>
      <c r="Y417" s="60"/>
      <c r="Z417" s="60"/>
    </row>
    <row r="418" spans="1:30" ht="16.5" hidden="1" thickBot="1">
      <c r="A418" s="60"/>
      <c r="B418" s="650">
        <v>54</v>
      </c>
      <c r="C418" s="445">
        <f>N418/187.5</f>
        <v>24</v>
      </c>
      <c r="D418" s="425" t="s">
        <v>88</v>
      </c>
      <c r="E418" s="430">
        <f>IF(canthorincsup*187.5&gt;4500,4500,canthorincsup*187.5)</f>
        <v>4500</v>
      </c>
      <c r="F418" s="429"/>
      <c r="G418" s="427"/>
      <c r="H418" s="430">
        <f>IF(canthorincsup*187.5&gt;4500,4500,canthorincsup*187.5)</f>
        <v>4500</v>
      </c>
      <c r="I418" s="429"/>
      <c r="J418" s="427"/>
      <c r="K418" s="430">
        <f>IF(canthorincsup*187.5&gt;4500,4500,canthorincsup*187.5)</f>
        <v>4500</v>
      </c>
      <c r="L418" s="429"/>
      <c r="M418" s="427"/>
      <c r="N418" s="430">
        <f>IF(canthorincsup*187.5&gt;4500,4500,canthorincsup*187.5)</f>
        <v>4500</v>
      </c>
      <c r="O418" s="429"/>
      <c r="P418" s="427"/>
      <c r="Q418" s="60"/>
      <c r="R418" s="60"/>
      <c r="S418" s="60"/>
      <c r="T418" s="60"/>
      <c r="U418" s="60"/>
      <c r="V418" s="60"/>
      <c r="W418" s="60"/>
      <c r="X418" s="60"/>
      <c r="Y418" s="60"/>
      <c r="Z418" s="60"/>
    </row>
    <row r="419" spans="1:30" ht="16.5" hidden="1" thickBot="1">
      <c r="A419" s="60"/>
      <c r="B419" s="704">
        <v>64</v>
      </c>
      <c r="C419" s="373">
        <f>N419/166.6667</f>
        <v>29.999994000001202</v>
      </c>
      <c r="D419" s="217" t="s">
        <v>507</v>
      </c>
      <c r="E419" s="430">
        <f>IF(canthorincsup*208.3333&gt;5000,5000,canthorincsup*208.3333)</f>
        <v>5000</v>
      </c>
      <c r="F419" s="429"/>
      <c r="G419" s="431"/>
      <c r="H419" s="430">
        <f>IF(canthorincsup*208.3333&gt;5000,5000,canthorincsup*208.3333)</f>
        <v>5000</v>
      </c>
      <c r="I419" s="429"/>
      <c r="J419" s="431"/>
      <c r="K419" s="430">
        <f>IF(canthorincsup*208.3333&gt;5000,5000,canthorincsup*208.3333)</f>
        <v>5000</v>
      </c>
      <c r="L419" s="429"/>
      <c r="M419" s="431"/>
      <c r="N419" s="430">
        <f>IF(canthorincsup*208.3333&gt;5000,5000,canthorincsup*208.3333)</f>
        <v>5000</v>
      </c>
      <c r="O419" s="429"/>
      <c r="P419" s="431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</row>
    <row r="420" spans="1:30" hidden="1" thickBot="1">
      <c r="A420" s="60"/>
      <c r="B420" s="652"/>
      <c r="C420" s="429"/>
      <c r="D420" s="429"/>
      <c r="E420" s="444"/>
      <c r="F420" s="429"/>
      <c r="G420" s="431"/>
      <c r="H420" s="444"/>
      <c r="I420" s="429"/>
      <c r="J420" s="431"/>
      <c r="K420" s="444"/>
      <c r="L420" s="429"/>
      <c r="M420" s="431"/>
      <c r="N420" s="444"/>
      <c r="O420" s="429"/>
      <c r="P420" s="431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</row>
    <row r="421" spans="1:30" ht="16.5" hidden="1" thickBot="1">
      <c r="A421" s="60"/>
      <c r="B421" s="649"/>
      <c r="C421" s="446"/>
      <c r="D421" s="433" t="s">
        <v>124</v>
      </c>
      <c r="E421" s="447">
        <f>SUM(E414:E419)</f>
        <v>475467.7071753919</v>
      </c>
      <c r="F421" s="425"/>
      <c r="G421" s="448"/>
      <c r="H421" s="447">
        <f>SUM(H414:H419)</f>
        <v>434137.39150910557</v>
      </c>
      <c r="I421" s="425"/>
      <c r="J421" s="448"/>
      <c r="K421" s="447">
        <f>SUM(K414:K419)</f>
        <v>367559.54553530231</v>
      </c>
      <c r="L421" s="425"/>
      <c r="M421" s="448"/>
      <c r="N421" s="447">
        <f>SUM(N414:N419)</f>
        <v>342125.50512527995</v>
      </c>
      <c r="O421" s="425"/>
      <c r="P421" s="448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</row>
    <row r="422" spans="1:30" ht="16.5" hidden="1" thickBot="1">
      <c r="A422" s="60"/>
      <c r="B422" s="650">
        <v>440</v>
      </c>
      <c r="C422" s="449"/>
      <c r="D422" s="429" t="s">
        <v>90</v>
      </c>
      <c r="E422" s="443">
        <f>E367</f>
        <v>0</v>
      </c>
      <c r="F422" s="428">
        <f>-E422</f>
        <v>0</v>
      </c>
      <c r="G422" s="431"/>
      <c r="H422" s="443">
        <f>H367</f>
        <v>0</v>
      </c>
      <c r="I422" s="428">
        <f>-H422</f>
        <v>0</v>
      </c>
      <c r="J422" s="431"/>
      <c r="K422" s="443">
        <f>K367</f>
        <v>0</v>
      </c>
      <c r="L422" s="428">
        <f>-K422</f>
        <v>0</v>
      </c>
      <c r="M422" s="431"/>
      <c r="N422" s="443">
        <f>N367</f>
        <v>0</v>
      </c>
      <c r="O422" s="428">
        <f>-N422</f>
        <v>0</v>
      </c>
      <c r="P422" s="431"/>
      <c r="Q422" s="95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</row>
    <row r="423" spans="1:30" ht="13.5" hidden="1" thickBot="1">
      <c r="A423" s="60"/>
      <c r="B423" s="649">
        <v>502</v>
      </c>
      <c r="C423" s="570">
        <v>0.16</v>
      </c>
      <c r="D423" s="426" t="s">
        <v>125</v>
      </c>
      <c r="E423" s="426"/>
      <c r="F423" s="423">
        <f>-(E406+E407+E410+E408+E409+F422+E411+E413)*porjub</f>
        <v>-71215.313148062705</v>
      </c>
      <c r="G423" s="450"/>
      <c r="H423" s="426"/>
      <c r="I423" s="423">
        <f>-(H406+H407+H410+H408+H409+I422+H411+H413)*porjub</f>
        <v>-64602.462641456892</v>
      </c>
      <c r="J423" s="450"/>
      <c r="K423" s="426"/>
      <c r="L423" s="423">
        <f>-(K406+K407+K410+K408+K409+L422+K411+K413)*porjub</f>
        <v>-54937.527285648372</v>
      </c>
      <c r="M423" s="450"/>
      <c r="N423" s="426"/>
      <c r="O423" s="423">
        <f>-(N406+N407+N410+N408+N409+O422+N411+N413)*porjub</f>
        <v>-50868.080820044794</v>
      </c>
      <c r="P423" s="45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</row>
    <row r="424" spans="1:30" ht="13.5" hidden="1" thickBot="1">
      <c r="A424" s="60"/>
      <c r="B424" s="649">
        <v>505</v>
      </c>
      <c r="C424" s="571">
        <v>0.03</v>
      </c>
      <c r="D424" s="426" t="s">
        <v>126</v>
      </c>
      <c r="E424" s="426"/>
      <c r="F424" s="423">
        <f>-(E406+E407+E410+E408+E409+F422+E411+E413)*poros</f>
        <v>-13352.871215261757</v>
      </c>
      <c r="G424" s="450"/>
      <c r="H424" s="426"/>
      <c r="I424" s="423">
        <f>-(H406+H407+H410+H408+H409+I422+H411+H413)*poros</f>
        <v>-12112.961745273167</v>
      </c>
      <c r="J424" s="450"/>
      <c r="K424" s="426"/>
      <c r="L424" s="423">
        <f>-(K406+K407+K410+K408+K409+L422+K411+K413)*poros</f>
        <v>-10300.786366059068</v>
      </c>
      <c r="M424" s="450"/>
      <c r="N424" s="426"/>
      <c r="O424" s="423">
        <f>-(N406+N407+N410+N408+N409+O422+N411+N413)*poros</f>
        <v>-9537.7651537583988</v>
      </c>
      <c r="P424" s="45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</row>
    <row r="425" spans="1:30" ht="16.5" hidden="1" thickBot="1">
      <c r="A425" s="60"/>
      <c r="B425" s="653">
        <v>332</v>
      </c>
      <c r="C425" s="528">
        <f t="shared" ref="C425:C426" si="231">C370</f>
        <v>0</v>
      </c>
      <c r="D425" s="430" t="s">
        <v>94</v>
      </c>
      <c r="E425" s="430"/>
      <c r="F425" s="428">
        <f>-(E406+E407+E410+E408+E409+F422+E411)*poragmer-E417*poragmer</f>
        <v>0</v>
      </c>
      <c r="G425" s="451"/>
      <c r="H425" s="430"/>
      <c r="I425" s="428">
        <f>-(H406+H407+H410+H408+H409+I422+H411)*poragmer-H417*poragmer</f>
        <v>0</v>
      </c>
      <c r="J425" s="451"/>
      <c r="K425" s="430"/>
      <c r="L425" s="428">
        <f>-(K406+K407+K410+K408+K409+L422+K411)*poragmer-K417*poragmer</f>
        <v>0</v>
      </c>
      <c r="M425" s="451"/>
      <c r="N425" s="430"/>
      <c r="O425" s="428">
        <f>-(N406+N407+N410+N408+N409+O422+N411)*poragmer-N417*poragmer</f>
        <v>0</v>
      </c>
      <c r="P425" s="451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</row>
    <row r="426" spans="1:30" ht="16.5" hidden="1" thickBot="1">
      <c r="A426" s="60"/>
      <c r="B426" s="654" t="s">
        <v>95</v>
      </c>
      <c r="C426" s="528">
        <f t="shared" si="231"/>
        <v>0</v>
      </c>
      <c r="D426" s="425"/>
      <c r="E426" s="425"/>
      <c r="F426" s="423">
        <f>-(E407+E406+E410+E408+E409+F422+E411+E413)*$C426</f>
        <v>0</v>
      </c>
      <c r="G426" s="427"/>
      <c r="H426" s="425"/>
      <c r="I426" s="423">
        <f>-(H407+H406+H410+H408+H409+I422+H411+H413)*$C426</f>
        <v>0</v>
      </c>
      <c r="J426" s="427"/>
      <c r="K426" s="425"/>
      <c r="L426" s="423">
        <f>-(K407+K406+K410+K408+K409+L422+K411+K413)*$C426</f>
        <v>0</v>
      </c>
      <c r="M426" s="427"/>
      <c r="N426" s="425"/>
      <c r="O426" s="423">
        <f>-(N407+N406+N410+N408+N409+O422+N411+N413)*$C426</f>
        <v>0</v>
      </c>
      <c r="P426" s="427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</row>
    <row r="427" spans="1:30" ht="16.5" hidden="1" thickBot="1">
      <c r="A427" s="60"/>
      <c r="B427" s="449"/>
      <c r="C427" s="449"/>
      <c r="D427" s="453" t="s">
        <v>96</v>
      </c>
      <c r="E427" s="449"/>
      <c r="F427" s="440">
        <f>SUM(F423:F426)</f>
        <v>-84568.184363324457</v>
      </c>
      <c r="G427" s="454"/>
      <c r="H427" s="449"/>
      <c r="I427" s="440">
        <f>SUM(I423:I426)</f>
        <v>-76715.424386730054</v>
      </c>
      <c r="J427" s="454"/>
      <c r="K427" s="449"/>
      <c r="L427" s="440">
        <f>SUM(L423:L426)</f>
        <v>-65238.313651707438</v>
      </c>
      <c r="M427" s="454"/>
      <c r="N427" s="449"/>
      <c r="O427" s="440">
        <f>SUM(O423:O426)</f>
        <v>-60405.845973803196</v>
      </c>
      <c r="P427" s="454"/>
      <c r="Q427" s="69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</row>
    <row r="428" spans="1:30" ht="13.5" hidden="1" thickBot="1">
      <c r="A428" s="60"/>
      <c r="B428" s="425"/>
      <c r="C428" s="425"/>
      <c r="D428" s="425"/>
      <c r="E428" s="425"/>
      <c r="F428" s="425"/>
      <c r="G428" s="427"/>
      <c r="H428" s="425"/>
      <c r="I428" s="425"/>
      <c r="J428" s="427"/>
      <c r="K428" s="425"/>
      <c r="L428" s="425"/>
      <c r="M428" s="427"/>
      <c r="N428" s="425"/>
      <c r="O428" s="425"/>
      <c r="P428" s="427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</row>
    <row r="429" spans="1:30" ht="24" hidden="1" thickBot="1">
      <c r="A429" s="60"/>
      <c r="B429" s="426"/>
      <c r="C429" s="425"/>
      <c r="D429" s="433"/>
      <c r="E429" s="433" t="s">
        <v>97</v>
      </c>
      <c r="F429" s="455">
        <f>E421+F427</f>
        <v>390899.52281206741</v>
      </c>
      <c r="G429" s="448"/>
      <c r="H429" s="433" t="s">
        <v>97</v>
      </c>
      <c r="I429" s="455">
        <f>H421+I427</f>
        <v>357421.9671223755</v>
      </c>
      <c r="J429" s="448"/>
      <c r="K429" s="433" t="s">
        <v>97</v>
      </c>
      <c r="L429" s="455">
        <f>K421+L427</f>
        <v>302321.23188359488</v>
      </c>
      <c r="M429" s="448"/>
      <c r="N429" s="433" t="s">
        <v>97</v>
      </c>
      <c r="O429" s="455">
        <f>N421+O427</f>
        <v>281719.65915147675</v>
      </c>
      <c r="P429" s="448"/>
      <c r="Q429" s="379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</row>
    <row r="430" spans="1:30" ht="24" hidden="1" thickBot="1">
      <c r="A430" s="60"/>
      <c r="B430" s="426"/>
      <c r="C430" s="425">
        <f>2250/12</f>
        <v>187.5</v>
      </c>
      <c r="D430" s="433"/>
      <c r="E430" s="433"/>
      <c r="F430" s="456"/>
      <c r="G430" s="448"/>
      <c r="H430" s="433"/>
      <c r="I430" s="456"/>
      <c r="J430" s="448"/>
      <c r="K430" s="433"/>
      <c r="L430" s="456"/>
      <c r="M430" s="448"/>
      <c r="N430" s="433"/>
      <c r="O430" s="456"/>
      <c r="P430" s="448"/>
      <c r="Q430" s="379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</row>
    <row r="431" spans="1:30" ht="18.75" hidden="1" thickBot="1">
      <c r="A431" s="60"/>
      <c r="B431" s="426"/>
      <c r="C431" s="425"/>
      <c r="D431" s="433"/>
      <c r="E431" s="457" t="s">
        <v>101</v>
      </c>
      <c r="F431" s="281">
        <f>F429-I429</f>
        <v>33477.555689691915</v>
      </c>
      <c r="G431" s="448"/>
      <c r="H431" s="457" t="s">
        <v>101</v>
      </c>
      <c r="I431" s="281">
        <f>I429-L429</f>
        <v>55100.735238780617</v>
      </c>
      <c r="J431" s="448"/>
      <c r="K431" s="457" t="s">
        <v>101</v>
      </c>
      <c r="L431" s="281">
        <f>L429-O429</f>
        <v>20601.572732118133</v>
      </c>
      <c r="M431" s="448"/>
      <c r="N431" s="457" t="s">
        <v>101</v>
      </c>
      <c r="O431" s="458"/>
      <c r="P431" s="448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</row>
    <row r="432" spans="1:30" ht="18.75" hidden="1" thickBot="1">
      <c r="A432" s="60"/>
      <c r="B432" s="426"/>
      <c r="C432" s="425"/>
      <c r="D432" s="433"/>
      <c r="E432" s="457" t="s">
        <v>102</v>
      </c>
      <c r="F432" s="509">
        <f>F431/I429</f>
        <v>9.3663956804954138E-2</v>
      </c>
      <c r="G432" s="448"/>
      <c r="H432" s="457" t="s">
        <v>102</v>
      </c>
      <c r="I432" s="509">
        <f>I431/L429</f>
        <v>0.18225890022833885</v>
      </c>
      <c r="J432" s="448"/>
      <c r="K432" s="457" t="s">
        <v>102</v>
      </c>
      <c r="L432" s="509">
        <f>L431/O429</f>
        <v>7.3127920125165821E-2</v>
      </c>
      <c r="M432" s="448"/>
      <c r="N432" s="457" t="s">
        <v>102</v>
      </c>
      <c r="O432" s="512"/>
      <c r="P432" s="448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</row>
    <row r="433" spans="1:30" hidden="1" thickBot="1">
      <c r="A433" s="60"/>
      <c r="B433" s="425"/>
      <c r="C433" s="425"/>
      <c r="D433" s="425"/>
      <c r="E433" s="425"/>
      <c r="F433" s="217"/>
      <c r="G433" s="427"/>
      <c r="H433" s="425"/>
      <c r="I433" s="217"/>
      <c r="J433" s="427"/>
      <c r="K433" s="425"/>
      <c r="L433" s="217"/>
      <c r="M433" s="427"/>
      <c r="N433" s="425"/>
      <c r="O433" s="425"/>
      <c r="P433" s="427"/>
      <c r="Q433" s="72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</row>
    <row r="434" spans="1:30" ht="18.75" hidden="1" thickBot="1">
      <c r="A434" s="60"/>
      <c r="B434" s="452"/>
      <c r="C434" s="433"/>
      <c r="D434" s="459"/>
      <c r="E434" s="285" t="s">
        <v>485</v>
      </c>
      <c r="F434" s="286">
        <f>F429-$O429</f>
        <v>109179.86366059066</v>
      </c>
      <c r="G434" s="264"/>
      <c r="H434" s="285" t="s">
        <v>485</v>
      </c>
      <c r="I434" s="286">
        <f>I429-$O429</f>
        <v>75702.30797089875</v>
      </c>
      <c r="J434" s="264"/>
      <c r="K434" s="285" t="s">
        <v>485</v>
      </c>
      <c r="L434" s="286">
        <f>L429-$O429</f>
        <v>20601.572732118133</v>
      </c>
      <c r="M434" s="264"/>
      <c r="N434" s="285" t="s">
        <v>485</v>
      </c>
      <c r="O434" s="286"/>
      <c r="P434" s="264"/>
      <c r="Q434" s="383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</row>
    <row r="435" spans="1:30" ht="18.75" hidden="1" thickBot="1">
      <c r="A435" s="60"/>
      <c r="B435" s="452"/>
      <c r="C435" s="433"/>
      <c r="D435" s="459"/>
      <c r="E435" s="285" t="s">
        <v>486</v>
      </c>
      <c r="F435" s="508">
        <f>F434/$O429</f>
        <v>0.38754790485489748</v>
      </c>
      <c r="G435" s="264"/>
      <c r="H435" s="285" t="s">
        <v>486</v>
      </c>
      <c r="I435" s="508">
        <f>I434/$O429</f>
        <v>0.2687150346515032</v>
      </c>
      <c r="J435" s="264"/>
      <c r="K435" s="285" t="s">
        <v>486</v>
      </c>
      <c r="L435" s="508">
        <f>L434/$O429</f>
        <v>7.3127920125165821E-2</v>
      </c>
      <c r="M435" s="264"/>
      <c r="N435" s="285" t="s">
        <v>486</v>
      </c>
      <c r="O435" s="508"/>
      <c r="P435" s="264"/>
      <c r="Q435" s="283"/>
      <c r="R435" s="383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</row>
    <row r="436" spans="1:30" ht="18.75" hidden="1" thickBot="1">
      <c r="A436" s="60"/>
      <c r="B436" s="452"/>
      <c r="C436" s="433"/>
      <c r="D436" s="459"/>
      <c r="E436" s="425"/>
      <c r="F436" s="425"/>
      <c r="G436" s="460"/>
      <c r="H436" s="425"/>
      <c r="I436" s="425"/>
      <c r="J436" s="460"/>
      <c r="K436" s="425"/>
      <c r="L436" s="425"/>
      <c r="M436" s="460"/>
      <c r="N436" s="425"/>
      <c r="O436" s="425"/>
      <c r="P436" s="460"/>
      <c r="Q436" s="284"/>
      <c r="R436" s="124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</row>
    <row r="437" spans="1:30" ht="18.75" hidden="1" thickBot="1">
      <c r="A437" s="60"/>
      <c r="B437" s="425"/>
      <c r="C437" s="425"/>
      <c r="D437" s="425"/>
      <c r="E437" s="202" t="s">
        <v>503</v>
      </c>
      <c r="F437" s="286">
        <f>(F429-E417-E418-E419)-($O429-$N417-$N418-$N419)</f>
        <v>103007.86366059066</v>
      </c>
      <c r="G437" s="427"/>
      <c r="H437" s="202" t="s">
        <v>503</v>
      </c>
      <c r="I437" s="286">
        <f>(I429-H417-H418-H419)-($O429-$N417-$N418-$N419)</f>
        <v>69530.30797089875</v>
      </c>
      <c r="J437" s="427"/>
      <c r="K437" s="202" t="s">
        <v>503</v>
      </c>
      <c r="L437" s="286">
        <f>(L429-K417-K418-K419)-($O429-$N417-$N418-$N419)</f>
        <v>20601.572732118133</v>
      </c>
      <c r="M437" s="427"/>
      <c r="N437" s="202" t="s">
        <v>503</v>
      </c>
      <c r="O437" s="286"/>
      <c r="P437" s="427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</row>
    <row r="438" spans="1:30" ht="18.75" hidden="1" thickBot="1">
      <c r="A438" s="60"/>
      <c r="B438" s="425"/>
      <c r="C438" s="425"/>
      <c r="D438" s="425"/>
      <c r="E438" s="203" t="s">
        <v>504</v>
      </c>
      <c r="F438" s="508">
        <f>F437/($O429-$N417-$N418-$N419)</f>
        <v>0.39999999999999986</v>
      </c>
      <c r="G438" s="427"/>
      <c r="H438" s="203" t="s">
        <v>504</v>
      </c>
      <c r="I438" s="508">
        <f>I437/($O429-$N417-$N418-$N419)</f>
        <v>0.27000000000000013</v>
      </c>
      <c r="J438" s="427"/>
      <c r="K438" s="203" t="s">
        <v>504</v>
      </c>
      <c r="L438" s="508">
        <f>L437/($O429-$N417-$N418-$N419)</f>
        <v>7.9999999999999974E-2</v>
      </c>
      <c r="M438" s="427"/>
      <c r="N438" s="203" t="s">
        <v>504</v>
      </c>
      <c r="O438" s="508"/>
      <c r="P438" s="427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</row>
    <row r="439" spans="1:30" ht="16.5" hidden="1" thickBot="1">
      <c r="A439" s="60"/>
      <c r="B439" s="425"/>
      <c r="C439" s="425"/>
      <c r="D439" s="425"/>
      <c r="E439" s="433"/>
      <c r="F439" s="461"/>
      <c r="G439" s="427"/>
      <c r="H439" s="433"/>
      <c r="I439" s="461"/>
      <c r="J439" s="427"/>
      <c r="K439" s="433"/>
      <c r="L439" s="461"/>
      <c r="M439" s="427"/>
      <c r="N439" s="433"/>
      <c r="O439" s="461"/>
      <c r="P439" s="427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</row>
    <row r="440" spans="1:30" ht="16.5" hidden="1" thickBot="1">
      <c r="A440" s="60"/>
      <c r="B440" s="425"/>
      <c r="C440" s="425"/>
      <c r="D440" s="425"/>
      <c r="E440" s="433" t="s">
        <v>103</v>
      </c>
      <c r="F440" s="461"/>
      <c r="G440" s="427"/>
      <c r="H440" s="433" t="s">
        <v>103</v>
      </c>
      <c r="I440" s="461"/>
      <c r="J440" s="427"/>
      <c r="K440" s="433" t="s">
        <v>103</v>
      </c>
      <c r="L440" s="461"/>
      <c r="M440" s="427"/>
      <c r="N440" s="433" t="s">
        <v>103</v>
      </c>
      <c r="O440" s="461"/>
      <c r="P440" s="427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</row>
    <row r="441" spans="1:30" ht="16.5" hidden="1" thickBot="1">
      <c r="A441" s="95"/>
      <c r="B441" s="425"/>
      <c r="C441" s="425"/>
      <c r="D441" s="425"/>
      <c r="E441" s="421" t="s">
        <v>104</v>
      </c>
      <c r="F441" s="462">
        <f>(E406+E407+E408+E409+E410+E411+E413)*0.5</f>
        <v>222547.85358769595</v>
      </c>
      <c r="G441" s="427"/>
      <c r="H441" s="421" t="s">
        <v>104</v>
      </c>
      <c r="I441" s="462">
        <f>(H406+H407+H408+H409+H410+H411+H413)*0.5</f>
        <v>201882.69575455278</v>
      </c>
      <c r="J441" s="427"/>
      <c r="K441" s="421" t="s">
        <v>104</v>
      </c>
      <c r="L441" s="462">
        <f>(K406+K407+K408+K409+K410+K411+K413)*0.5</f>
        <v>171679.77276765116</v>
      </c>
      <c r="M441" s="427"/>
      <c r="N441" s="421" t="s">
        <v>104</v>
      </c>
      <c r="O441" s="462">
        <f>(N406+N407+N408+N409+N410+N411+N413)*0.5</f>
        <v>158962.75256263997</v>
      </c>
      <c r="P441" s="427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</row>
    <row r="442" spans="1:30" ht="16.5" hidden="1" thickBot="1">
      <c r="A442" s="95"/>
      <c r="B442" s="425"/>
      <c r="C442" s="425"/>
      <c r="D442" s="425"/>
      <c r="E442" s="421" t="s">
        <v>105</v>
      </c>
      <c r="F442" s="463"/>
      <c r="G442" s="427"/>
      <c r="H442" s="421" t="s">
        <v>105</v>
      </c>
      <c r="I442" s="463"/>
      <c r="J442" s="427"/>
      <c r="K442" s="421" t="s">
        <v>105</v>
      </c>
      <c r="L442" s="463"/>
      <c r="M442" s="427"/>
      <c r="N442" s="421" t="s">
        <v>105</v>
      </c>
      <c r="O442" s="463"/>
      <c r="P442" s="427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</row>
    <row r="443" spans="1:30" ht="13.5" hidden="1" thickBot="1">
      <c r="A443" s="95"/>
      <c r="B443" s="425"/>
      <c r="C443" s="425"/>
      <c r="D443" s="425"/>
      <c r="E443" s="425" t="s">
        <v>106</v>
      </c>
      <c r="F443" s="425">
        <f>F441*0.804</f>
        <v>178928.47428450757</v>
      </c>
      <c r="G443" s="427"/>
      <c r="H443" s="425" t="s">
        <v>106</v>
      </c>
      <c r="I443" s="425">
        <f>I441*0.804</f>
        <v>162313.68738666046</v>
      </c>
      <c r="J443" s="427"/>
      <c r="K443" s="425" t="s">
        <v>106</v>
      </c>
      <c r="L443" s="425">
        <f>L441*0.804</f>
        <v>138030.53730519154</v>
      </c>
      <c r="M443" s="427"/>
      <c r="N443" s="425" t="s">
        <v>106</v>
      </c>
      <c r="O443" s="425">
        <f>O441*0.804</f>
        <v>127806.05306036255</v>
      </c>
      <c r="P443" s="427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</row>
    <row r="444" spans="1:30" ht="13.5" hidden="1" thickBot="1">
      <c r="A444" s="95"/>
      <c r="B444" s="425"/>
      <c r="C444" s="425"/>
      <c r="D444" s="425"/>
      <c r="E444" s="421" t="s">
        <v>107</v>
      </c>
      <c r="F444" s="421"/>
      <c r="G444" s="427"/>
      <c r="H444" s="421" t="s">
        <v>107</v>
      </c>
      <c r="I444" s="421"/>
      <c r="J444" s="427"/>
      <c r="K444" s="421" t="s">
        <v>107</v>
      </c>
      <c r="L444" s="421"/>
      <c r="M444" s="427"/>
      <c r="N444" s="421" t="s">
        <v>107</v>
      </c>
      <c r="O444" s="421"/>
      <c r="P444" s="427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</row>
    <row r="445" spans="1:30" ht="16.5" hidden="1" thickBot="1">
      <c r="A445" s="95"/>
      <c r="B445" s="425"/>
      <c r="C445" s="425"/>
      <c r="D445" s="425"/>
      <c r="E445" s="464">
        <v>502</v>
      </c>
      <c r="F445" s="465">
        <f>-(E406+E407+E410+E408+E409+F422+E411+E413+F441)*0.16</f>
        <v>-106822.96972209406</v>
      </c>
      <c r="G445" s="427"/>
      <c r="H445" s="464">
        <v>502</v>
      </c>
      <c r="I445" s="465">
        <f>-(H406+H407+H410+H408+H409+I422+H411+H413+I441)*0.16</f>
        <v>-96903.693962185353</v>
      </c>
      <c r="J445" s="427"/>
      <c r="K445" s="464">
        <v>502</v>
      </c>
      <c r="L445" s="465">
        <f>-(K406+K407+K410+K408+K409+L422+K411+K413+L441)*0.16</f>
        <v>-82406.290928472561</v>
      </c>
      <c r="M445" s="427"/>
      <c r="N445" s="464">
        <v>502</v>
      </c>
      <c r="O445" s="465">
        <f>-(N406+N407+N410+N408+N409+O422+N411+N413+O441)*0.16</f>
        <v>-76302.12123006719</v>
      </c>
      <c r="P445" s="427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</row>
    <row r="446" spans="1:30" ht="16.5" hidden="1" thickBot="1">
      <c r="A446" s="95"/>
      <c r="B446" s="425"/>
      <c r="C446" s="425"/>
      <c r="D446" s="425"/>
      <c r="E446" s="464">
        <v>505</v>
      </c>
      <c r="F446" s="465">
        <f>-(E406+E407+E410+E408+E409+F422+E411+E413+F441)*0.03</f>
        <v>-20029.306822892635</v>
      </c>
      <c r="G446" s="427"/>
      <c r="H446" s="464">
        <v>505</v>
      </c>
      <c r="I446" s="465">
        <f>-(H406+H407+H410+H408+H409+I422+H411+H413+I441)*0.03</f>
        <v>-18169.44261790975</v>
      </c>
      <c r="J446" s="427"/>
      <c r="K446" s="464">
        <v>505</v>
      </c>
      <c r="L446" s="465">
        <f>-(K406+K407+K410+K408+K409+L422+K411+K413+L441)*0.03</f>
        <v>-15451.179549088605</v>
      </c>
      <c r="M446" s="427"/>
      <c r="N446" s="464">
        <v>505</v>
      </c>
      <c r="O446" s="465">
        <f>-(N406+N407+N410+N408+N409+O422+N411+N413+O441)*0.03</f>
        <v>-14306.647730637596</v>
      </c>
      <c r="P446" s="427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</row>
    <row r="447" spans="1:30" ht="16.5" hidden="1" thickBot="1">
      <c r="A447" s="95"/>
      <c r="B447" s="425"/>
      <c r="C447" s="425"/>
      <c r="D447" s="425"/>
      <c r="E447" s="461"/>
      <c r="F447" s="466"/>
      <c r="G447" s="427"/>
      <c r="H447" s="461"/>
      <c r="I447" s="466"/>
      <c r="J447" s="427"/>
      <c r="K447" s="461"/>
      <c r="L447" s="466"/>
      <c r="M447" s="427"/>
      <c r="N447" s="461"/>
      <c r="O447" s="466"/>
      <c r="P447" s="427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</row>
    <row r="448" spans="1:30" hidden="1" thickBot="1">
      <c r="A448" s="95"/>
      <c r="B448" s="425"/>
      <c r="C448" s="425"/>
      <c r="D448" s="425"/>
      <c r="E448" s="437" t="s">
        <v>108</v>
      </c>
      <c r="F448" s="437"/>
      <c r="G448" s="427"/>
      <c r="H448" s="437" t="s">
        <v>108</v>
      </c>
      <c r="I448" s="437"/>
      <c r="J448" s="427"/>
      <c r="K448" s="437" t="s">
        <v>108</v>
      </c>
      <c r="L448" s="437"/>
      <c r="M448" s="427"/>
      <c r="N448" s="437" t="s">
        <v>108</v>
      </c>
      <c r="O448" s="437"/>
      <c r="P448" s="427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</row>
    <row r="449" spans="1:46" ht="16.5" hidden="1" thickBot="1">
      <c r="A449" s="95"/>
      <c r="B449" s="425"/>
      <c r="C449" s="425"/>
      <c r="D449" s="425"/>
      <c r="E449" s="437"/>
      <c r="F449" s="467">
        <f>E421+F441+F442+F445+F446</f>
        <v>571163.28421810118</v>
      </c>
      <c r="G449" s="427"/>
      <c r="H449" s="437"/>
      <c r="I449" s="467">
        <f>H421+I441+I442+I445+I446</f>
        <v>520946.95068356325</v>
      </c>
      <c r="J449" s="427"/>
      <c r="K449" s="437"/>
      <c r="L449" s="467">
        <f>K421+L441+L442+L445+L446</f>
        <v>441381.84782539238</v>
      </c>
      <c r="M449" s="427"/>
      <c r="N449" s="437"/>
      <c r="O449" s="467">
        <f>N421+O441+O442+O445+O446</f>
        <v>410479.4887272151</v>
      </c>
      <c r="P449" s="427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</row>
    <row r="450" spans="1:46" ht="16.5" hidden="1" thickBot="1">
      <c r="A450" s="95"/>
      <c r="B450" s="425"/>
      <c r="C450" s="425"/>
      <c r="D450" s="425"/>
      <c r="E450" s="468" t="s">
        <v>109</v>
      </c>
      <c r="F450" s="468"/>
      <c r="G450" s="427"/>
      <c r="H450" s="468" t="s">
        <v>109</v>
      </c>
      <c r="I450" s="468"/>
      <c r="J450" s="427"/>
      <c r="K450" s="468" t="s">
        <v>109</v>
      </c>
      <c r="L450" s="468"/>
      <c r="M450" s="427"/>
      <c r="N450" s="468" t="s">
        <v>109</v>
      </c>
      <c r="O450" s="468"/>
      <c r="P450" s="427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</row>
    <row r="451" spans="1:46" ht="18.75" hidden="1" thickBot="1">
      <c r="A451" s="95"/>
      <c r="B451" s="425"/>
      <c r="C451" s="425"/>
      <c r="D451" s="425"/>
      <c r="E451" s="425"/>
      <c r="F451" s="721">
        <f>F449-F429+F425</f>
        <v>180263.76140603377</v>
      </c>
      <c r="G451" s="722"/>
      <c r="H451" s="425"/>
      <c r="I451" s="721">
        <f>I449-I429+I425</f>
        <v>163524.98356118775</v>
      </c>
      <c r="J451" s="722"/>
      <c r="K451" s="723"/>
      <c r="L451" s="721">
        <f>L449-L429+L425</f>
        <v>139060.6159417975</v>
      </c>
      <c r="M451" s="722"/>
      <c r="N451" s="723"/>
      <c r="O451" s="721">
        <f>O449-O429+O425</f>
        <v>128759.82957573835</v>
      </c>
      <c r="P451" s="427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</row>
    <row r="452" spans="1:46" ht="13.5" hidden="1" thickBot="1">
      <c r="A452" s="95"/>
      <c r="B452" s="425"/>
      <c r="C452" s="425"/>
      <c r="D452" s="425"/>
      <c r="E452" s="425"/>
      <c r="F452" s="425"/>
      <c r="G452" s="427"/>
      <c r="H452" s="425"/>
      <c r="I452" s="425"/>
      <c r="J452" s="427"/>
      <c r="K452" s="425"/>
      <c r="L452" s="425"/>
      <c r="M452" s="427"/>
      <c r="N452" s="425"/>
      <c r="O452" s="425"/>
      <c r="P452" s="427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</row>
    <row r="453" spans="1:46">
      <c r="A453" s="469" t="s">
        <v>129</v>
      </c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</row>
    <row r="454" spans="1:46" ht="15">
      <c r="A454" s="788" t="s">
        <v>130</v>
      </c>
      <c r="B454" s="789"/>
      <c r="C454" s="470"/>
      <c r="D454" s="471"/>
      <c r="E454" s="472"/>
      <c r="F454" s="472"/>
      <c r="G454" s="472"/>
      <c r="H454" s="472"/>
      <c r="I454" s="472"/>
      <c r="J454" s="472"/>
      <c r="K454" s="472"/>
      <c r="L454" s="472"/>
      <c r="M454" s="472"/>
      <c r="N454" s="472"/>
      <c r="O454" s="472"/>
      <c r="P454" s="472"/>
      <c r="Q454" s="60"/>
      <c r="R454" s="60"/>
      <c r="S454" s="60"/>
      <c r="T454" s="60"/>
      <c r="U454" s="60"/>
      <c r="V454" s="60"/>
      <c r="W454" s="60"/>
      <c r="X454" s="60"/>
    </row>
    <row r="455" spans="1:46" ht="15">
      <c r="A455" s="790" t="s">
        <v>131</v>
      </c>
      <c r="B455" s="770"/>
      <c r="C455" s="770"/>
      <c r="D455" s="153"/>
      <c r="E455" s="153"/>
      <c r="F455" s="153"/>
      <c r="G455" s="153"/>
      <c r="H455" s="153"/>
      <c r="I455" s="153"/>
      <c r="J455" s="153"/>
      <c r="K455" s="153"/>
      <c r="L455" s="153"/>
      <c r="M455" s="153"/>
      <c r="N455" s="153"/>
      <c r="O455" s="153"/>
      <c r="P455" s="153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</row>
    <row r="456" spans="1:46" ht="18">
      <c r="A456" s="791" t="s">
        <v>484</v>
      </c>
      <c r="B456" s="792"/>
      <c r="C456" s="792"/>
      <c r="D456" s="153"/>
      <c r="E456" s="153"/>
      <c r="F456" s="153"/>
      <c r="G456" s="153"/>
      <c r="H456" s="153"/>
      <c r="I456" s="153"/>
      <c r="J456" s="153"/>
      <c r="K456" s="153"/>
      <c r="L456" s="153"/>
      <c r="M456" s="153"/>
      <c r="N456" s="153"/>
      <c r="O456" s="153"/>
      <c r="P456" s="153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</row>
    <row r="457" spans="1:46" ht="15">
      <c r="A457" s="777" t="s">
        <v>132</v>
      </c>
      <c r="B457" s="778"/>
      <c r="C457" s="778"/>
      <c r="D457" s="474"/>
      <c r="E457" s="472"/>
      <c r="F457" s="472"/>
      <c r="G457" s="472"/>
      <c r="H457" s="472"/>
      <c r="I457" s="472"/>
      <c r="J457" s="472"/>
      <c r="K457" s="472"/>
      <c r="L457" s="472"/>
      <c r="M457" s="472"/>
      <c r="N457" s="472"/>
      <c r="O457" s="472"/>
      <c r="P457" s="472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</row>
    <row r="458" spans="1:46" ht="15">
      <c r="A458" s="779" t="s">
        <v>133</v>
      </c>
      <c r="B458" s="770"/>
      <c r="C458" s="770"/>
      <c r="D458" s="153"/>
      <c r="E458" s="153"/>
      <c r="F458" s="153"/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</row>
    <row r="459" spans="1:46" ht="12.75">
      <c r="A459" s="594" t="s">
        <v>496</v>
      </c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</row>
    <row r="460" spans="1:46" ht="12.75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</row>
    <row r="461" spans="1:46">
      <c r="A461" s="60"/>
      <c r="B461" s="60"/>
      <c r="C461" s="95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</row>
    <row r="462" spans="1:46" ht="12.75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</row>
    <row r="463" spans="1:46">
      <c r="A463" s="60"/>
      <c r="B463" s="60"/>
      <c r="C463" s="95"/>
      <c r="D463" s="68"/>
      <c r="E463" s="68"/>
      <c r="F463" s="68"/>
      <c r="G463" s="68"/>
      <c r="H463" s="68"/>
      <c r="I463" s="68"/>
      <c r="J463" s="68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</row>
    <row r="464" spans="1:46" ht="18">
      <c r="A464" s="60"/>
      <c r="B464" s="475"/>
      <c r="C464" s="60"/>
      <c r="D464" s="60"/>
      <c r="E464" s="60"/>
      <c r="F464" s="60"/>
      <c r="G464" s="173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</row>
    <row r="465" spans="1:46" ht="12.75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</row>
    <row r="466" spans="1:46" ht="12.75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</row>
    <row r="467" spans="1:46" ht="12.75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</row>
    <row r="468" spans="1:46" ht="12.75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</row>
    <row r="469" spans="1:46" ht="12.75">
      <c r="A469" s="60"/>
      <c r="B469" s="60"/>
      <c r="C469" s="60"/>
      <c r="D469" s="60"/>
      <c r="E469" s="60"/>
      <c r="F469" s="60"/>
      <c r="G469" s="60"/>
      <c r="H469" s="60"/>
      <c r="I469" s="69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</row>
    <row r="470" spans="1:46" ht="12.75">
      <c r="A470" s="60"/>
      <c r="B470" s="60"/>
      <c r="C470" s="60"/>
      <c r="D470" s="60"/>
      <c r="E470" s="60"/>
      <c r="F470" s="60"/>
      <c r="G470" s="60"/>
      <c r="H470" s="60"/>
      <c r="I470" s="69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</row>
    <row r="471" spans="1:46" ht="12.75">
      <c r="A471" s="60"/>
      <c r="B471" s="60"/>
      <c r="C471" s="60"/>
      <c r="D471" s="60"/>
      <c r="E471" s="60"/>
      <c r="F471" s="60"/>
      <c r="G471" s="60"/>
      <c r="H471" s="60"/>
      <c r="I471" s="69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</row>
    <row r="472" spans="1:46" ht="12.75">
      <c r="A472" s="161"/>
      <c r="B472" s="69"/>
      <c r="C472" s="60"/>
      <c r="D472" s="60"/>
      <c r="E472" s="60"/>
      <c r="F472" s="161"/>
      <c r="G472" s="69"/>
      <c r="H472" s="60"/>
      <c r="I472" s="69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</row>
    <row r="473" spans="1:46" ht="12.75">
      <c r="A473" s="60"/>
      <c r="B473" s="60"/>
      <c r="C473" s="60"/>
      <c r="D473" s="60"/>
      <c r="E473" s="60"/>
      <c r="F473" s="69"/>
      <c r="G473" s="69"/>
      <c r="H473" s="161"/>
      <c r="I473" s="69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</row>
    <row r="474" spans="1:46" ht="12.75">
      <c r="A474" s="60"/>
      <c r="B474" s="60"/>
      <c r="C474" s="60"/>
      <c r="D474" s="60"/>
      <c r="E474" s="60"/>
      <c r="F474" s="69"/>
      <c r="G474" s="69"/>
      <c r="H474" s="69"/>
      <c r="I474" s="69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</row>
    <row r="475" spans="1:46" ht="12.75">
      <c r="A475" s="60"/>
      <c r="B475" s="60"/>
      <c r="C475" s="60"/>
      <c r="D475" s="60"/>
      <c r="E475" s="60"/>
      <c r="F475" s="69"/>
      <c r="G475" s="69"/>
      <c r="H475" s="161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</row>
    <row r="476" spans="1:46" ht="12.75">
      <c r="A476" s="60"/>
      <c r="B476" s="60"/>
      <c r="C476" s="161"/>
      <c r="D476" s="69"/>
      <c r="E476" s="60"/>
      <c r="F476" s="69"/>
      <c r="G476" s="69"/>
      <c r="H476" s="69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</row>
    <row r="477" spans="1:46" ht="12.75">
      <c r="A477" s="60"/>
      <c r="B477" s="60"/>
      <c r="C477" s="60"/>
      <c r="D477" s="60"/>
      <c r="E477" s="60"/>
      <c r="F477" s="69"/>
      <c r="G477" s="69"/>
      <c r="H477" s="69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</row>
    <row r="478" spans="1:46" ht="12.75">
      <c r="A478" s="60"/>
      <c r="B478" s="60"/>
      <c r="C478" s="161"/>
      <c r="D478" s="69"/>
      <c r="E478" s="60"/>
      <c r="F478" s="60"/>
      <c r="G478" s="60"/>
      <c r="H478" s="69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</row>
    <row r="479" spans="1:46" ht="12.7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</row>
    <row r="480" spans="1:46" ht="12.75">
      <c r="A480" s="60"/>
      <c r="B480" s="69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</row>
    <row r="481" spans="1:46" ht="12.75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</row>
    <row r="482" spans="1:46" ht="12.75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</row>
    <row r="483" spans="1:46" ht="12.75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</row>
    <row r="484" spans="1:46" ht="12.75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</row>
    <row r="485" spans="1:46" ht="12.75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</row>
    <row r="486" spans="1:46" ht="12.75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</row>
    <row r="487" spans="1:46" ht="12.75">
      <c r="A487" s="161"/>
      <c r="B487" s="60"/>
      <c r="C487" s="60"/>
      <c r="D487" s="60"/>
      <c r="E487" s="60"/>
      <c r="F487" s="161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</row>
    <row r="488" spans="1:46" ht="12.75">
      <c r="A488" s="60"/>
      <c r="B488" s="60"/>
      <c r="C488" s="60"/>
      <c r="D488" s="60"/>
      <c r="E488" s="60"/>
      <c r="F488" s="69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</row>
    <row r="489" spans="1:46" ht="12.75">
      <c r="A489" s="60"/>
      <c r="B489" s="60"/>
      <c r="C489" s="60"/>
      <c r="D489" s="60"/>
      <c r="E489" s="60"/>
      <c r="F489" s="69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</row>
    <row r="490" spans="1:46" ht="12.75">
      <c r="A490" s="60"/>
      <c r="B490" s="60"/>
      <c r="C490" s="60"/>
      <c r="D490" s="60"/>
      <c r="E490" s="60"/>
      <c r="F490" s="69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</row>
    <row r="491" spans="1:46" ht="12.75">
      <c r="A491" s="60"/>
      <c r="B491" s="60"/>
      <c r="C491" s="161"/>
      <c r="D491" s="60"/>
      <c r="E491" s="60"/>
      <c r="F491" s="69"/>
      <c r="G491" s="60"/>
      <c r="H491" s="69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</row>
    <row r="492" spans="1:46" ht="12.75">
      <c r="A492" s="60"/>
      <c r="B492" s="60"/>
      <c r="C492" s="60"/>
      <c r="D492" s="60"/>
      <c r="E492" s="60"/>
      <c r="F492" s="69"/>
      <c r="G492" s="69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</row>
    <row r="493" spans="1:46" ht="12.75">
      <c r="A493" s="60"/>
      <c r="B493" s="60"/>
      <c r="C493" s="161"/>
      <c r="D493" s="60"/>
      <c r="E493" s="60"/>
      <c r="F493" s="69"/>
      <c r="G493" s="69"/>
      <c r="H493" s="69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</row>
    <row r="494" spans="1:46" ht="12.75">
      <c r="A494" s="60"/>
      <c r="B494" s="60"/>
      <c r="C494" s="60"/>
      <c r="D494" s="60"/>
      <c r="E494" s="60"/>
      <c r="F494" s="69"/>
      <c r="G494" s="69"/>
      <c r="H494" s="69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</row>
    <row r="495" spans="1:46" ht="12.75">
      <c r="A495" s="60"/>
      <c r="B495" s="69"/>
      <c r="C495" s="60"/>
      <c r="D495" s="60"/>
      <c r="E495" s="60"/>
      <c r="F495" s="60"/>
      <c r="G495" s="60"/>
      <c r="H495" s="69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</row>
    <row r="496" spans="1:46" ht="12.75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</row>
    <row r="497" spans="1:46" ht="12.75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</row>
    <row r="498" spans="1:46" ht="12.75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</row>
    <row r="499" spans="1:46" ht="12.75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</row>
    <row r="500" spans="1:46" ht="12.75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</row>
    <row r="501" spans="1:46" ht="12.75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</row>
    <row r="502" spans="1:46" ht="12.75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</row>
    <row r="503" spans="1:46" ht="12.75">
      <c r="A503" s="161"/>
      <c r="B503" s="60"/>
      <c r="C503" s="60"/>
      <c r="D503" s="60"/>
      <c r="E503" s="60"/>
      <c r="F503" s="161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</row>
    <row r="504" spans="1:46" ht="12.75">
      <c r="A504" s="60"/>
      <c r="B504" s="60"/>
      <c r="C504" s="60"/>
      <c r="D504" s="60"/>
      <c r="E504" s="60"/>
      <c r="F504" s="69"/>
      <c r="G504" s="60"/>
      <c r="H504" s="161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</row>
    <row r="505" spans="1:46" ht="12.75">
      <c r="A505" s="60"/>
      <c r="B505" s="60"/>
      <c r="C505" s="60"/>
      <c r="D505" s="60"/>
      <c r="E505" s="60"/>
      <c r="F505" s="69"/>
      <c r="G505" s="60"/>
      <c r="H505" s="69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</row>
    <row r="506" spans="1:46" ht="12.75">
      <c r="A506" s="60"/>
      <c r="B506" s="60"/>
      <c r="C506" s="60"/>
      <c r="D506" s="60"/>
      <c r="E506" s="60"/>
      <c r="F506" s="69"/>
      <c r="G506" s="60"/>
      <c r="H506" s="161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</row>
    <row r="507" spans="1:46" ht="12.75">
      <c r="A507" s="60"/>
      <c r="B507" s="60"/>
      <c r="C507" s="161"/>
      <c r="D507" s="60"/>
      <c r="E507" s="60"/>
      <c r="F507" s="69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</row>
    <row r="508" spans="1:46" ht="12.75">
      <c r="A508" s="60"/>
      <c r="B508" s="60"/>
      <c r="C508" s="60"/>
      <c r="D508" s="60"/>
      <c r="E508" s="60"/>
      <c r="F508" s="69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</row>
    <row r="509" spans="1:46" ht="12.75">
      <c r="A509" s="60"/>
      <c r="B509" s="60"/>
      <c r="C509" s="161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</row>
    <row r="510" spans="1:46" ht="12.75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</row>
    <row r="511" spans="1:46" ht="12.75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</row>
    <row r="512" spans="1:46" ht="12.75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</row>
    <row r="513" spans="1:46" ht="12.75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</row>
    <row r="514" spans="1:46" ht="12.75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</row>
    <row r="515" spans="1:46" ht="12.75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</row>
    <row r="516" spans="1:46" ht="12.75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</row>
    <row r="517" spans="1:46" ht="12.75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</row>
    <row r="518" spans="1:46" ht="12.75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</row>
  </sheetData>
  <sheetProtection password="DFB3" sheet="1" selectLockedCells="1"/>
  <mergeCells count="29">
    <mergeCell ref="A457:C457"/>
    <mergeCell ref="A458:C458"/>
    <mergeCell ref="B221:C221"/>
    <mergeCell ref="B223:C223"/>
    <mergeCell ref="B340:C340"/>
    <mergeCell ref="B341:C341"/>
    <mergeCell ref="B344:C344"/>
    <mergeCell ref="B345:C345"/>
    <mergeCell ref="B347:C347"/>
    <mergeCell ref="B348:C348"/>
    <mergeCell ref="A454:B454"/>
    <mergeCell ref="A455:C455"/>
    <mergeCell ref="A456:C456"/>
    <mergeCell ref="A7:C7"/>
    <mergeCell ref="F52:H52"/>
    <mergeCell ref="F53:G53"/>
    <mergeCell ref="F54:G54"/>
    <mergeCell ref="A72:D72"/>
    <mergeCell ref="AF222:AH222"/>
    <mergeCell ref="B78:C78"/>
    <mergeCell ref="B79:C79"/>
    <mergeCell ref="B81:C81"/>
    <mergeCell ref="B82:C82"/>
    <mergeCell ref="B83:C83"/>
    <mergeCell ref="B218:C218"/>
    <mergeCell ref="B219:C219"/>
    <mergeCell ref="B213:C213"/>
    <mergeCell ref="B214:C214"/>
    <mergeCell ref="B217:C217"/>
  </mergeCells>
  <hyperlinks>
    <hyperlink ref="A5" r:id="rId1" location="Cargos!A1"/>
    <hyperlink ref="A456" r:id="rId2"/>
    <hyperlink ref="A457" r:id="rId3"/>
    <hyperlink ref="A458" r:id="rId4"/>
    <hyperlink ref="A459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ummaryBelow="0" summaryRight="0"/>
  </sheetPr>
  <dimension ref="A1:Q340"/>
  <sheetViews>
    <sheetView zoomScale="85" zoomScaleNormal="85" workbookViewId="0">
      <pane ySplit="2" topLeftCell="A238" activePane="bottomLeft" state="frozen"/>
      <selection pane="bottomLeft" activeCell="J195" sqref="J195"/>
    </sheetView>
  </sheetViews>
  <sheetFormatPr baseColWidth="10" defaultColWidth="14.42578125" defaultRowHeight="15.75" customHeight="1"/>
  <cols>
    <col min="2" max="2" width="63.28515625" customWidth="1"/>
    <col min="4" max="4" width="14.42578125" style="41"/>
    <col min="5" max="5" width="11.28515625" customWidth="1"/>
    <col min="7" max="7" width="14.42578125" style="41"/>
  </cols>
  <sheetData>
    <row r="1" spans="1:17">
      <c r="A1" s="2"/>
      <c r="B1" s="13" t="s">
        <v>134</v>
      </c>
      <c r="C1" s="14"/>
      <c r="D1" s="575"/>
      <c r="E1" s="15"/>
      <c r="F1" s="15"/>
      <c r="G1" s="15"/>
      <c r="H1" s="16"/>
      <c r="I1" s="7" t="s">
        <v>135</v>
      </c>
      <c r="J1" s="17" t="s">
        <v>136</v>
      </c>
      <c r="K1" s="17" t="s">
        <v>137</v>
      </c>
      <c r="L1" s="7" t="s">
        <v>138</v>
      </c>
      <c r="M1" s="1"/>
      <c r="N1" s="1"/>
      <c r="O1" s="1"/>
      <c r="P1" s="1"/>
      <c r="Q1" s="1"/>
    </row>
    <row r="2" spans="1:17">
      <c r="A2" s="11" t="s">
        <v>45</v>
      </c>
      <c r="B2" s="18" t="s">
        <v>139</v>
      </c>
      <c r="C2" s="11" t="s">
        <v>140</v>
      </c>
      <c r="D2" s="11" t="s">
        <v>492</v>
      </c>
      <c r="E2" s="19" t="s">
        <v>141</v>
      </c>
      <c r="F2" s="20" t="s">
        <v>142</v>
      </c>
      <c r="G2" s="48" t="s">
        <v>487</v>
      </c>
      <c r="H2" s="11" t="s">
        <v>143</v>
      </c>
      <c r="I2" s="21" t="s">
        <v>144</v>
      </c>
      <c r="J2" s="10" t="s">
        <v>145</v>
      </c>
      <c r="K2" s="10" t="s">
        <v>146</v>
      </c>
      <c r="L2" s="10" t="s">
        <v>147</v>
      </c>
      <c r="M2" s="1"/>
      <c r="N2" s="1"/>
      <c r="O2" s="1"/>
      <c r="P2" s="1"/>
      <c r="Q2" s="1"/>
    </row>
    <row r="3" spans="1:17">
      <c r="A3" s="22">
        <v>461</v>
      </c>
      <c r="B3" s="23" t="s">
        <v>148</v>
      </c>
      <c r="C3" s="559">
        <v>2220</v>
      </c>
      <c r="D3" s="576"/>
      <c r="E3" s="546">
        <v>7</v>
      </c>
      <c r="F3" s="546">
        <v>521.4</v>
      </c>
      <c r="G3" s="547">
        <f t="shared" ref="G3:G66" si="0">F3</f>
        <v>521.4</v>
      </c>
      <c r="H3" s="548">
        <v>2748.4</v>
      </c>
      <c r="I3" s="162">
        <v>0</v>
      </c>
      <c r="J3" s="549">
        <v>0</v>
      </c>
      <c r="K3" s="549">
        <v>0</v>
      </c>
      <c r="L3" s="8"/>
      <c r="M3" s="1"/>
      <c r="N3" s="1"/>
      <c r="O3" s="1"/>
      <c r="P3" s="1"/>
      <c r="Q3" s="1"/>
    </row>
    <row r="4" spans="1:17">
      <c r="A4" s="5">
        <v>462</v>
      </c>
      <c r="B4" s="24" t="s">
        <v>148</v>
      </c>
      <c r="C4" s="549">
        <v>2220</v>
      </c>
      <c r="D4" s="577"/>
      <c r="E4" s="546">
        <v>7</v>
      </c>
      <c r="F4" s="546">
        <v>521.4</v>
      </c>
      <c r="G4" s="547">
        <f t="shared" si="0"/>
        <v>521.4</v>
      </c>
      <c r="H4" s="550">
        <v>2748.4</v>
      </c>
      <c r="I4" s="162">
        <v>0</v>
      </c>
      <c r="J4" s="549">
        <v>0</v>
      </c>
      <c r="K4" s="549">
        <v>0</v>
      </c>
      <c r="L4" s="8"/>
      <c r="M4" s="1"/>
      <c r="N4" s="1"/>
      <c r="O4" s="1"/>
      <c r="P4" s="1"/>
      <c r="Q4" s="1"/>
    </row>
    <row r="5" spans="1:17">
      <c r="A5" s="5">
        <v>470</v>
      </c>
      <c r="B5" s="24" t="s">
        <v>149</v>
      </c>
      <c r="C5" s="549">
        <v>1580</v>
      </c>
      <c r="D5" s="577"/>
      <c r="E5" s="546">
        <v>90</v>
      </c>
      <c r="F5" s="546">
        <v>347.6</v>
      </c>
      <c r="G5" s="547">
        <f t="shared" si="0"/>
        <v>347.6</v>
      </c>
      <c r="H5" s="550">
        <v>2017.6</v>
      </c>
      <c r="I5" s="162">
        <v>0</v>
      </c>
      <c r="J5" s="549">
        <v>0</v>
      </c>
      <c r="K5" s="549">
        <v>0</v>
      </c>
      <c r="L5" s="8"/>
      <c r="M5" s="1"/>
      <c r="N5" s="1"/>
      <c r="O5" s="1"/>
      <c r="P5" s="1"/>
      <c r="Q5" s="1"/>
    </row>
    <row r="6" spans="1:17">
      <c r="A6" s="5">
        <v>600</v>
      </c>
      <c r="B6" s="24" t="s">
        <v>150</v>
      </c>
      <c r="C6" s="549">
        <v>1300</v>
      </c>
      <c r="D6" s="577"/>
      <c r="E6" s="546">
        <v>127</v>
      </c>
      <c r="F6" s="546">
        <v>0</v>
      </c>
      <c r="G6" s="547">
        <f t="shared" si="0"/>
        <v>0</v>
      </c>
      <c r="H6" s="550">
        <v>1427</v>
      </c>
      <c r="I6" s="162">
        <v>0</v>
      </c>
      <c r="J6" s="549">
        <v>0</v>
      </c>
      <c r="K6" s="549">
        <v>0</v>
      </c>
      <c r="L6" s="8"/>
      <c r="M6" s="1"/>
      <c r="N6" s="1"/>
      <c r="O6" s="1"/>
      <c r="P6" s="1"/>
      <c r="Q6" s="1"/>
    </row>
    <row r="7" spans="1:17">
      <c r="A7" s="5">
        <v>603</v>
      </c>
      <c r="B7" s="24" t="s">
        <v>151</v>
      </c>
      <c r="C7" s="549">
        <v>3146</v>
      </c>
      <c r="D7" s="577"/>
      <c r="E7" s="546">
        <v>0</v>
      </c>
      <c r="F7" s="546">
        <v>0</v>
      </c>
      <c r="G7" s="547">
        <f t="shared" si="0"/>
        <v>0</v>
      </c>
      <c r="H7" s="550">
        <v>3146</v>
      </c>
      <c r="I7" s="162">
        <v>0</v>
      </c>
      <c r="J7" s="549">
        <v>0</v>
      </c>
      <c r="K7" s="549">
        <v>0</v>
      </c>
      <c r="L7" s="8"/>
      <c r="M7" s="1"/>
      <c r="N7" s="1"/>
      <c r="O7" s="1"/>
      <c r="P7" s="1"/>
      <c r="Q7" s="1"/>
    </row>
    <row r="8" spans="1:17">
      <c r="A8" s="5">
        <v>604</v>
      </c>
      <c r="B8" s="24" t="s">
        <v>152</v>
      </c>
      <c r="C8" s="549">
        <v>1610</v>
      </c>
      <c r="D8" s="577"/>
      <c r="E8" s="546">
        <v>87</v>
      </c>
      <c r="F8" s="546">
        <v>388.2</v>
      </c>
      <c r="G8" s="547">
        <f t="shared" si="0"/>
        <v>388.2</v>
      </c>
      <c r="H8" s="550">
        <v>2085.1999999999998</v>
      </c>
      <c r="I8" s="162">
        <v>0</v>
      </c>
      <c r="J8" s="549">
        <v>0</v>
      </c>
      <c r="K8" s="549">
        <v>0</v>
      </c>
      <c r="L8" s="8"/>
      <c r="M8" s="1"/>
      <c r="N8" s="1"/>
      <c r="O8" s="1"/>
      <c r="P8" s="1"/>
      <c r="Q8" s="1"/>
    </row>
    <row r="9" spans="1:17">
      <c r="A9" s="5">
        <v>605</v>
      </c>
      <c r="B9" s="24" t="s">
        <v>154</v>
      </c>
      <c r="C9" s="549">
        <v>2913</v>
      </c>
      <c r="D9" s="577"/>
      <c r="E9" s="546">
        <v>0</v>
      </c>
      <c r="F9" s="546">
        <v>776</v>
      </c>
      <c r="G9" s="547">
        <f t="shared" si="0"/>
        <v>776</v>
      </c>
      <c r="H9" s="550">
        <v>3689</v>
      </c>
      <c r="I9" s="162">
        <v>0</v>
      </c>
      <c r="J9" s="549">
        <v>0</v>
      </c>
      <c r="K9" s="549">
        <v>0</v>
      </c>
      <c r="L9" s="8"/>
      <c r="M9" s="1"/>
      <c r="N9" s="3">
        <v>233</v>
      </c>
      <c r="O9" s="1"/>
      <c r="P9" s="1"/>
      <c r="Q9" s="1"/>
    </row>
    <row r="10" spans="1:17">
      <c r="A10" s="5">
        <v>606</v>
      </c>
      <c r="B10" s="24" t="s">
        <v>155</v>
      </c>
      <c r="C10" s="549">
        <v>2913</v>
      </c>
      <c r="D10" s="577"/>
      <c r="E10" s="546">
        <v>0</v>
      </c>
      <c r="F10" s="546">
        <v>0</v>
      </c>
      <c r="G10" s="547">
        <f t="shared" si="0"/>
        <v>0</v>
      </c>
      <c r="H10" s="550">
        <v>2913</v>
      </c>
      <c r="I10" s="162">
        <v>0</v>
      </c>
      <c r="J10" s="549">
        <v>0</v>
      </c>
      <c r="K10" s="549">
        <v>0</v>
      </c>
      <c r="L10" s="8"/>
      <c r="M10" s="1"/>
      <c r="N10" s="1"/>
      <c r="O10" s="1"/>
      <c r="P10" s="1"/>
      <c r="Q10" s="1"/>
    </row>
    <row r="11" spans="1:17">
      <c r="A11" s="5">
        <v>608</v>
      </c>
      <c r="B11" s="24" t="s">
        <v>156</v>
      </c>
      <c r="C11" s="549">
        <v>2913</v>
      </c>
      <c r="D11" s="577"/>
      <c r="E11" s="546">
        <v>0</v>
      </c>
      <c r="F11" s="546">
        <v>0</v>
      </c>
      <c r="G11" s="547">
        <f t="shared" si="0"/>
        <v>0</v>
      </c>
      <c r="H11" s="550">
        <v>2913</v>
      </c>
      <c r="I11" s="162">
        <v>0</v>
      </c>
      <c r="J11" s="549">
        <v>0</v>
      </c>
      <c r="K11" s="549">
        <v>0</v>
      </c>
      <c r="L11" s="8"/>
      <c r="M11" s="1"/>
      <c r="N11" s="1"/>
      <c r="O11" s="1"/>
      <c r="P11" s="1"/>
      <c r="Q11" s="1"/>
    </row>
    <row r="12" spans="1:17">
      <c r="A12" s="5">
        <v>609</v>
      </c>
      <c r="B12" s="24" t="s">
        <v>157</v>
      </c>
      <c r="C12" s="549">
        <v>2000</v>
      </c>
      <c r="D12" s="577"/>
      <c r="E12" s="546">
        <v>36</v>
      </c>
      <c r="F12" s="546">
        <v>647</v>
      </c>
      <c r="G12" s="547">
        <f t="shared" si="0"/>
        <v>647</v>
      </c>
      <c r="H12" s="550">
        <v>2683</v>
      </c>
      <c r="I12" s="162">
        <v>0</v>
      </c>
      <c r="J12" s="549">
        <v>0</v>
      </c>
      <c r="K12" s="549">
        <v>0</v>
      </c>
      <c r="L12" s="8"/>
      <c r="M12" s="1"/>
      <c r="N12" s="3" t="s">
        <v>158</v>
      </c>
      <c r="O12" s="1"/>
      <c r="P12" s="1"/>
      <c r="Q12" s="1"/>
    </row>
    <row r="13" spans="1:17">
      <c r="A13" s="5">
        <v>611</v>
      </c>
      <c r="B13" s="24" t="s">
        <v>159</v>
      </c>
      <c r="C13" s="549">
        <v>1840</v>
      </c>
      <c r="D13" s="577"/>
      <c r="E13" s="546">
        <v>57</v>
      </c>
      <c r="F13" s="546">
        <v>582.29999999999995</v>
      </c>
      <c r="G13" s="547">
        <f t="shared" si="0"/>
        <v>582.29999999999995</v>
      </c>
      <c r="H13" s="550">
        <v>2479.3000000000002</v>
      </c>
      <c r="I13" s="162">
        <v>0</v>
      </c>
      <c r="J13" s="549">
        <v>0</v>
      </c>
      <c r="K13" s="549">
        <v>0</v>
      </c>
      <c r="L13" s="8"/>
      <c r="M13" s="1"/>
      <c r="N13" s="3">
        <v>136</v>
      </c>
      <c r="O13" s="1"/>
      <c r="P13" s="1"/>
      <c r="Q13" s="1"/>
    </row>
    <row r="14" spans="1:17">
      <c r="A14" s="5">
        <v>612</v>
      </c>
      <c r="B14" s="24" t="s">
        <v>161</v>
      </c>
      <c r="C14" s="549">
        <v>1690</v>
      </c>
      <c r="D14" s="577"/>
      <c r="E14" s="546">
        <v>76</v>
      </c>
      <c r="F14" s="546">
        <v>452.9</v>
      </c>
      <c r="G14" s="547">
        <f t="shared" si="0"/>
        <v>452.9</v>
      </c>
      <c r="H14" s="550">
        <v>2218.9</v>
      </c>
      <c r="I14" s="162">
        <v>0</v>
      </c>
      <c r="J14" s="549">
        <v>0</v>
      </c>
      <c r="K14" s="549">
        <v>0</v>
      </c>
      <c r="L14" s="8"/>
      <c r="M14" s="1"/>
      <c r="N14" s="1"/>
      <c r="O14" s="1"/>
      <c r="P14" s="1"/>
      <c r="Q14" s="1"/>
    </row>
    <row r="15" spans="1:17">
      <c r="A15" s="5">
        <v>613</v>
      </c>
      <c r="B15" s="24" t="s">
        <v>163</v>
      </c>
      <c r="C15" s="549">
        <v>1680</v>
      </c>
      <c r="D15" s="577"/>
      <c r="E15" s="546">
        <v>77</v>
      </c>
      <c r="F15" s="546">
        <v>452.9</v>
      </c>
      <c r="G15" s="547">
        <f t="shared" si="0"/>
        <v>452.9</v>
      </c>
      <c r="H15" s="550">
        <v>2209.9</v>
      </c>
      <c r="I15" s="162">
        <v>0</v>
      </c>
      <c r="J15" s="549">
        <v>0</v>
      </c>
      <c r="K15" s="549">
        <v>0</v>
      </c>
      <c r="L15" s="8"/>
      <c r="M15" s="1"/>
      <c r="N15" s="1"/>
      <c r="O15" s="1"/>
      <c r="P15" s="1"/>
      <c r="Q15" s="1"/>
    </row>
    <row r="16" spans="1:17">
      <c r="A16" s="5">
        <v>614</v>
      </c>
      <c r="B16" s="24" t="s">
        <v>164</v>
      </c>
      <c r="C16" s="549">
        <v>1740</v>
      </c>
      <c r="D16" s="577"/>
      <c r="E16" s="546">
        <v>70</v>
      </c>
      <c r="F16" s="546">
        <v>517.6</v>
      </c>
      <c r="G16" s="547">
        <f t="shared" si="0"/>
        <v>517.6</v>
      </c>
      <c r="H16" s="550">
        <v>2327.6</v>
      </c>
      <c r="I16" s="162">
        <v>0</v>
      </c>
      <c r="J16" s="549">
        <v>0</v>
      </c>
      <c r="K16" s="549">
        <v>0</v>
      </c>
      <c r="L16" s="8"/>
      <c r="M16" s="1"/>
      <c r="N16" s="4" t="s">
        <v>166</v>
      </c>
      <c r="O16" s="3" t="s">
        <v>167</v>
      </c>
      <c r="P16" s="3" t="s">
        <v>168</v>
      </c>
      <c r="Q16" s="3">
        <v>233</v>
      </c>
    </row>
    <row r="17" spans="1:17">
      <c r="A17" s="5">
        <v>615</v>
      </c>
      <c r="B17" s="24" t="s">
        <v>169</v>
      </c>
      <c r="C17" s="549">
        <v>1610</v>
      </c>
      <c r="D17" s="577"/>
      <c r="E17" s="546">
        <v>87</v>
      </c>
      <c r="F17" s="546">
        <v>388.2</v>
      </c>
      <c r="G17" s="547">
        <f t="shared" si="0"/>
        <v>388.2</v>
      </c>
      <c r="H17" s="550">
        <v>2085.1999999999998</v>
      </c>
      <c r="I17" s="162">
        <v>0</v>
      </c>
      <c r="J17" s="549">
        <v>0</v>
      </c>
      <c r="K17" s="549">
        <v>0</v>
      </c>
      <c r="L17" s="8"/>
      <c r="M17" s="1"/>
      <c r="N17" s="4" t="s">
        <v>170</v>
      </c>
      <c r="O17" s="3">
        <v>647</v>
      </c>
      <c r="P17" s="3" t="s">
        <v>171</v>
      </c>
      <c r="Q17" s="3">
        <v>194</v>
      </c>
    </row>
    <row r="18" spans="1:17">
      <c r="A18" s="5">
        <v>616</v>
      </c>
      <c r="B18" s="24" t="s">
        <v>172</v>
      </c>
      <c r="C18" s="549">
        <v>1740</v>
      </c>
      <c r="D18" s="577"/>
      <c r="E18" s="546">
        <v>70</v>
      </c>
      <c r="F18" s="546">
        <v>0</v>
      </c>
      <c r="G18" s="547">
        <f t="shared" si="0"/>
        <v>0</v>
      </c>
      <c r="H18" s="550">
        <v>1810</v>
      </c>
      <c r="I18" s="162">
        <v>0</v>
      </c>
      <c r="J18" s="549">
        <v>0</v>
      </c>
      <c r="K18" s="549">
        <v>0</v>
      </c>
      <c r="L18" s="8"/>
      <c r="M18" s="1"/>
      <c r="N18" s="4" t="s">
        <v>173</v>
      </c>
      <c r="O18" s="3" t="s">
        <v>160</v>
      </c>
      <c r="P18" s="3" t="s">
        <v>174</v>
      </c>
      <c r="Q18" s="3">
        <v>175</v>
      </c>
    </row>
    <row r="19" spans="1:17">
      <c r="A19" s="5">
        <v>617</v>
      </c>
      <c r="B19" s="24" t="s">
        <v>175</v>
      </c>
      <c r="C19" s="549">
        <v>1610</v>
      </c>
      <c r="D19" s="577"/>
      <c r="E19" s="546">
        <v>87</v>
      </c>
      <c r="F19" s="546">
        <v>0</v>
      </c>
      <c r="G19" s="547">
        <f t="shared" si="0"/>
        <v>0</v>
      </c>
      <c r="H19" s="550">
        <v>1697</v>
      </c>
      <c r="I19" s="162">
        <v>0</v>
      </c>
      <c r="J19" s="549">
        <v>0</v>
      </c>
      <c r="K19" s="549">
        <v>0</v>
      </c>
      <c r="L19" s="8"/>
      <c r="M19" s="1"/>
      <c r="N19" s="4" t="s">
        <v>176</v>
      </c>
      <c r="O19" s="3" t="s">
        <v>162</v>
      </c>
      <c r="P19" s="3" t="s">
        <v>158</v>
      </c>
      <c r="Q19" s="3">
        <v>136</v>
      </c>
    </row>
    <row r="20" spans="1:17">
      <c r="A20" s="5">
        <v>618</v>
      </c>
      <c r="B20" s="24" t="s">
        <v>177</v>
      </c>
      <c r="C20" s="549">
        <v>1500</v>
      </c>
      <c r="D20" s="577"/>
      <c r="E20" s="546">
        <v>101</v>
      </c>
      <c r="F20" s="546">
        <v>0</v>
      </c>
      <c r="G20" s="547">
        <f t="shared" si="0"/>
        <v>0</v>
      </c>
      <c r="H20" s="550">
        <v>1601</v>
      </c>
      <c r="I20" s="162">
        <v>0</v>
      </c>
      <c r="J20" s="549">
        <v>0</v>
      </c>
      <c r="K20" s="549">
        <v>0</v>
      </c>
      <c r="L20" s="8"/>
      <c r="M20" s="1"/>
      <c r="N20" s="4" t="s">
        <v>178</v>
      </c>
      <c r="O20" s="1"/>
      <c r="P20" s="3">
        <v>0</v>
      </c>
      <c r="Q20" s="1"/>
    </row>
    <row r="21" spans="1:17">
      <c r="A21" s="5">
        <v>619</v>
      </c>
      <c r="B21" s="24" t="s">
        <v>179</v>
      </c>
      <c r="C21" s="549">
        <v>1320</v>
      </c>
      <c r="D21" s="577"/>
      <c r="E21" s="546">
        <v>124</v>
      </c>
      <c r="F21" s="546">
        <v>0</v>
      </c>
      <c r="G21" s="547">
        <f t="shared" si="0"/>
        <v>0</v>
      </c>
      <c r="H21" s="550">
        <v>1444</v>
      </c>
      <c r="I21" s="162">
        <v>0</v>
      </c>
      <c r="J21" s="549">
        <v>0</v>
      </c>
      <c r="K21" s="549">
        <v>0</v>
      </c>
      <c r="L21" s="8"/>
      <c r="M21" s="1"/>
      <c r="N21" s="4" t="s">
        <v>180</v>
      </c>
      <c r="O21" s="3" t="s">
        <v>165</v>
      </c>
      <c r="P21" s="3" t="s">
        <v>181</v>
      </c>
      <c r="Q21" s="3">
        <v>155</v>
      </c>
    </row>
    <row r="22" spans="1:17">
      <c r="A22" s="5">
        <v>620</v>
      </c>
      <c r="B22" s="24" t="s">
        <v>182</v>
      </c>
      <c r="C22" s="549">
        <v>1550</v>
      </c>
      <c r="D22" s="577"/>
      <c r="E22" s="546">
        <v>94</v>
      </c>
      <c r="F22" s="546">
        <v>0</v>
      </c>
      <c r="G22" s="547">
        <f t="shared" si="0"/>
        <v>0</v>
      </c>
      <c r="H22" s="550">
        <v>1644</v>
      </c>
      <c r="I22" s="162">
        <v>0</v>
      </c>
      <c r="J22" s="549">
        <v>0</v>
      </c>
      <c r="K22" s="549">
        <v>0</v>
      </c>
      <c r="L22" s="8"/>
      <c r="M22" s="1"/>
      <c r="N22" s="4" t="s">
        <v>183</v>
      </c>
      <c r="O22" s="3" t="s">
        <v>153</v>
      </c>
      <c r="P22" s="3" t="s">
        <v>184</v>
      </c>
      <c r="Q22" s="3">
        <v>116</v>
      </c>
    </row>
    <row r="23" spans="1:17">
      <c r="A23" s="5">
        <v>621</v>
      </c>
      <c r="B23" s="24" t="s">
        <v>185</v>
      </c>
      <c r="C23" s="549">
        <v>1340</v>
      </c>
      <c r="D23" s="577"/>
      <c r="E23" s="546">
        <v>122</v>
      </c>
      <c r="F23" s="546">
        <v>0</v>
      </c>
      <c r="G23" s="547">
        <f t="shared" si="0"/>
        <v>0</v>
      </c>
      <c r="H23" s="550">
        <v>1462</v>
      </c>
      <c r="I23" s="162">
        <v>0</v>
      </c>
      <c r="J23" s="549">
        <v>0</v>
      </c>
      <c r="K23" s="549">
        <v>0</v>
      </c>
      <c r="L23" s="8"/>
      <c r="M23" s="1"/>
      <c r="N23" s="4" t="s">
        <v>186</v>
      </c>
      <c r="O23" s="3" t="s">
        <v>153</v>
      </c>
      <c r="P23" s="3" t="s">
        <v>184</v>
      </c>
      <c r="Q23" s="3">
        <v>116</v>
      </c>
    </row>
    <row r="24" spans="1:17">
      <c r="A24" s="5">
        <v>622</v>
      </c>
      <c r="B24" s="24" t="s">
        <v>187</v>
      </c>
      <c r="C24" s="558">
        <v>971</v>
      </c>
      <c r="D24" s="577"/>
      <c r="E24" s="546">
        <v>414.7</v>
      </c>
      <c r="F24" s="546">
        <v>0</v>
      </c>
      <c r="G24" s="547">
        <f t="shared" si="0"/>
        <v>0</v>
      </c>
      <c r="H24" s="550">
        <v>1298</v>
      </c>
      <c r="I24" s="162">
        <v>0</v>
      </c>
      <c r="J24" s="549">
        <v>0</v>
      </c>
      <c r="K24" s="549">
        <v>0</v>
      </c>
      <c r="L24" s="8"/>
      <c r="M24" s="1"/>
      <c r="N24" s="4" t="s">
        <v>188</v>
      </c>
      <c r="O24" s="3" t="s">
        <v>153</v>
      </c>
      <c r="P24" s="3" t="s">
        <v>184</v>
      </c>
      <c r="Q24" s="3">
        <v>116</v>
      </c>
    </row>
    <row r="25" spans="1:17">
      <c r="A25" s="5">
        <v>623</v>
      </c>
      <c r="B25" s="24" t="s">
        <v>189</v>
      </c>
      <c r="C25" s="549">
        <v>1690</v>
      </c>
      <c r="D25" s="577"/>
      <c r="E25" s="546">
        <v>76</v>
      </c>
      <c r="F25" s="546">
        <v>0</v>
      </c>
      <c r="G25" s="547">
        <f t="shared" si="0"/>
        <v>0</v>
      </c>
      <c r="H25" s="550">
        <v>1766</v>
      </c>
      <c r="I25" s="162">
        <v>0</v>
      </c>
      <c r="J25" s="549">
        <v>0</v>
      </c>
      <c r="K25" s="549">
        <v>0</v>
      </c>
      <c r="L25" s="8"/>
      <c r="M25" s="1"/>
      <c r="N25" s="4" t="s">
        <v>190</v>
      </c>
      <c r="O25" s="3" t="s">
        <v>153</v>
      </c>
      <c r="P25" s="3" t="s">
        <v>184</v>
      </c>
      <c r="Q25" s="3">
        <v>116</v>
      </c>
    </row>
    <row r="26" spans="1:17">
      <c r="A26" s="5">
        <v>624</v>
      </c>
      <c r="B26" s="24" t="s">
        <v>191</v>
      </c>
      <c r="C26" s="549">
        <v>1400</v>
      </c>
      <c r="D26" s="577"/>
      <c r="E26" s="546">
        <v>114</v>
      </c>
      <c r="F26" s="546">
        <v>0</v>
      </c>
      <c r="G26" s="547">
        <f t="shared" si="0"/>
        <v>0</v>
      </c>
      <c r="H26" s="550">
        <v>1514</v>
      </c>
      <c r="I26" s="162">
        <v>0</v>
      </c>
      <c r="J26" s="549">
        <v>0</v>
      </c>
      <c r="K26" s="549">
        <v>0</v>
      </c>
      <c r="L26" s="8"/>
      <c r="M26" s="1"/>
      <c r="N26" s="1"/>
      <c r="O26" s="1"/>
      <c r="P26" s="1"/>
      <c r="Q26" s="1"/>
    </row>
    <row r="27" spans="1:17">
      <c r="A27" s="5">
        <v>625</v>
      </c>
      <c r="B27" s="24" t="s">
        <v>192</v>
      </c>
      <c r="C27" s="549">
        <v>1370</v>
      </c>
      <c r="D27" s="577"/>
      <c r="E27" s="546">
        <v>118</v>
      </c>
      <c r="F27" s="546">
        <v>388.2</v>
      </c>
      <c r="G27" s="547">
        <f t="shared" si="0"/>
        <v>388.2</v>
      </c>
      <c r="H27" s="550">
        <v>1876.2</v>
      </c>
      <c r="I27" s="162">
        <v>0</v>
      </c>
      <c r="J27" s="549">
        <v>0</v>
      </c>
      <c r="K27" s="549">
        <v>0</v>
      </c>
      <c r="L27" s="8"/>
      <c r="M27" s="1"/>
      <c r="N27" s="1"/>
      <c r="O27" s="1"/>
      <c r="P27" s="1"/>
      <c r="Q27" s="1"/>
    </row>
    <row r="28" spans="1:17">
      <c r="A28" s="5">
        <v>626</v>
      </c>
      <c r="B28" s="24" t="s">
        <v>193</v>
      </c>
      <c r="C28" s="549">
        <v>1340</v>
      </c>
      <c r="D28" s="577"/>
      <c r="E28" s="546">
        <v>122</v>
      </c>
      <c r="F28" s="546">
        <v>388.2</v>
      </c>
      <c r="G28" s="547">
        <f t="shared" si="0"/>
        <v>388.2</v>
      </c>
      <c r="H28" s="550">
        <v>1850.2</v>
      </c>
      <c r="I28" s="162">
        <v>0</v>
      </c>
      <c r="J28" s="549">
        <v>0</v>
      </c>
      <c r="K28" s="549">
        <v>0</v>
      </c>
      <c r="L28" s="8"/>
      <c r="M28" s="1"/>
      <c r="N28" s="1"/>
      <c r="O28" s="1"/>
      <c r="P28" s="1"/>
      <c r="Q28" s="1"/>
    </row>
    <row r="29" spans="1:17">
      <c r="A29" s="5">
        <v>627</v>
      </c>
      <c r="B29" s="24" t="s">
        <v>194</v>
      </c>
      <c r="C29" s="549">
        <v>1300</v>
      </c>
      <c r="D29" s="577"/>
      <c r="E29" s="546">
        <v>127</v>
      </c>
      <c r="F29" s="546">
        <v>388.2</v>
      </c>
      <c r="G29" s="547">
        <f t="shared" si="0"/>
        <v>388.2</v>
      </c>
      <c r="H29" s="550">
        <v>1815.2</v>
      </c>
      <c r="I29" s="162">
        <v>0</v>
      </c>
      <c r="J29" s="549">
        <v>0</v>
      </c>
      <c r="K29" s="549">
        <v>0</v>
      </c>
      <c r="L29" s="8"/>
      <c r="M29" s="1"/>
      <c r="N29" s="1"/>
      <c r="O29" s="1"/>
      <c r="P29" s="1"/>
      <c r="Q29" s="1"/>
    </row>
    <row r="30" spans="1:17">
      <c r="A30" s="5">
        <v>628</v>
      </c>
      <c r="B30" s="24" t="s">
        <v>195</v>
      </c>
      <c r="C30" s="549">
        <v>980</v>
      </c>
      <c r="D30" s="577"/>
      <c r="E30" s="546">
        <v>169</v>
      </c>
      <c r="F30" s="546">
        <v>0</v>
      </c>
      <c r="G30" s="547">
        <f t="shared" si="0"/>
        <v>0</v>
      </c>
      <c r="H30" s="550">
        <v>1149</v>
      </c>
      <c r="I30" s="162">
        <v>0</v>
      </c>
      <c r="J30" s="549">
        <v>0</v>
      </c>
      <c r="K30" s="549">
        <v>0</v>
      </c>
      <c r="L30" s="8"/>
      <c r="M30" s="1"/>
      <c r="N30" s="1"/>
      <c r="O30" s="1"/>
      <c r="P30" s="1"/>
      <c r="Q30" s="1"/>
    </row>
    <row r="31" spans="1:17">
      <c r="A31" s="5">
        <v>629</v>
      </c>
      <c r="B31" s="24" t="s">
        <v>196</v>
      </c>
      <c r="C31" s="549">
        <v>941</v>
      </c>
      <c r="D31" s="577"/>
      <c r="E31" s="546">
        <v>414.7</v>
      </c>
      <c r="F31" s="546">
        <v>0</v>
      </c>
      <c r="G31" s="547">
        <f t="shared" si="0"/>
        <v>0</v>
      </c>
      <c r="H31" s="550">
        <v>1268</v>
      </c>
      <c r="I31" s="162">
        <v>0</v>
      </c>
      <c r="J31" s="549">
        <v>0</v>
      </c>
      <c r="K31" s="549">
        <v>0</v>
      </c>
      <c r="L31" s="8"/>
      <c r="M31" s="1"/>
      <c r="N31" s="1"/>
      <c r="O31" s="1"/>
      <c r="P31" s="1"/>
      <c r="Q31" s="1"/>
    </row>
    <row r="32" spans="1:17">
      <c r="A32" s="5">
        <v>630</v>
      </c>
      <c r="B32" s="24" t="s">
        <v>197</v>
      </c>
      <c r="C32" s="549">
        <v>1170</v>
      </c>
      <c r="D32" s="577"/>
      <c r="E32" s="546">
        <v>144</v>
      </c>
      <c r="F32" s="546">
        <v>0</v>
      </c>
      <c r="G32" s="547">
        <f t="shared" si="0"/>
        <v>0</v>
      </c>
      <c r="H32" s="550">
        <v>1314</v>
      </c>
      <c r="I32" s="162">
        <v>0</v>
      </c>
      <c r="J32" s="549">
        <v>0</v>
      </c>
      <c r="K32" s="549">
        <v>0</v>
      </c>
      <c r="L32" s="8"/>
      <c r="M32" s="1"/>
      <c r="N32" s="1"/>
      <c r="O32" s="1"/>
      <c r="P32" s="1"/>
      <c r="Q32" s="1"/>
    </row>
    <row r="33" spans="1:17">
      <c r="A33" s="5">
        <v>631</v>
      </c>
      <c r="B33" s="24" t="s">
        <v>198</v>
      </c>
      <c r="C33" s="549">
        <v>1170</v>
      </c>
      <c r="D33" s="577"/>
      <c r="E33" s="546">
        <v>144</v>
      </c>
      <c r="F33" s="546">
        <v>0</v>
      </c>
      <c r="G33" s="547">
        <f t="shared" si="0"/>
        <v>0</v>
      </c>
      <c r="H33" s="550">
        <v>1314</v>
      </c>
      <c r="I33" s="162">
        <v>0</v>
      </c>
      <c r="J33" s="549">
        <v>0</v>
      </c>
      <c r="K33" s="549">
        <v>0</v>
      </c>
      <c r="L33" s="8"/>
      <c r="M33" s="1"/>
      <c r="N33" s="1"/>
      <c r="O33" s="1"/>
      <c r="P33" s="1"/>
      <c r="Q33" s="1"/>
    </row>
    <row r="34" spans="1:17">
      <c r="A34" s="5">
        <v>632</v>
      </c>
      <c r="B34" s="24" t="s">
        <v>199</v>
      </c>
      <c r="C34" s="549">
        <v>941</v>
      </c>
      <c r="D34" s="577"/>
      <c r="E34" s="546">
        <v>414.7</v>
      </c>
      <c r="F34" s="546">
        <v>0</v>
      </c>
      <c r="G34" s="547">
        <f t="shared" si="0"/>
        <v>0</v>
      </c>
      <c r="H34" s="550">
        <v>1268</v>
      </c>
      <c r="I34" s="162">
        <v>0</v>
      </c>
      <c r="J34" s="549">
        <v>0</v>
      </c>
      <c r="K34" s="549">
        <v>0</v>
      </c>
      <c r="L34" s="8"/>
      <c r="M34" s="1"/>
      <c r="N34" s="1"/>
      <c r="O34" s="1"/>
      <c r="P34" s="1"/>
      <c r="Q34" s="1"/>
    </row>
    <row r="35" spans="1:17">
      <c r="A35" s="5">
        <v>633</v>
      </c>
      <c r="B35" s="24" t="s">
        <v>200</v>
      </c>
      <c r="C35" s="549">
        <v>941</v>
      </c>
      <c r="D35" s="577"/>
      <c r="E35" s="546">
        <v>414.7</v>
      </c>
      <c r="F35" s="546">
        <v>0</v>
      </c>
      <c r="G35" s="547">
        <f t="shared" si="0"/>
        <v>0</v>
      </c>
      <c r="H35" s="550">
        <v>1268</v>
      </c>
      <c r="I35" s="162">
        <v>0</v>
      </c>
      <c r="J35" s="549">
        <v>0</v>
      </c>
      <c r="K35" s="549">
        <v>0</v>
      </c>
      <c r="L35" s="8"/>
      <c r="M35" s="1"/>
      <c r="N35" s="1"/>
      <c r="O35" s="1"/>
      <c r="P35" s="1"/>
      <c r="Q35" s="1"/>
    </row>
    <row r="36" spans="1:17">
      <c r="A36" s="5">
        <v>634</v>
      </c>
      <c r="B36" s="24" t="s">
        <v>201</v>
      </c>
      <c r="C36" s="549">
        <v>971</v>
      </c>
      <c r="D36" s="577"/>
      <c r="E36" s="546">
        <v>414.7</v>
      </c>
      <c r="F36" s="546">
        <v>0</v>
      </c>
      <c r="G36" s="547">
        <f t="shared" si="0"/>
        <v>0</v>
      </c>
      <c r="H36" s="550">
        <v>1298</v>
      </c>
      <c r="I36" s="162">
        <v>0</v>
      </c>
      <c r="J36" s="549">
        <v>0</v>
      </c>
      <c r="K36" s="549">
        <v>0</v>
      </c>
      <c r="L36" s="8"/>
      <c r="M36" s="1"/>
      <c r="N36" s="1"/>
      <c r="O36" s="1"/>
      <c r="P36" s="1"/>
      <c r="Q36" s="1"/>
    </row>
    <row r="37" spans="1:17">
      <c r="A37" s="5">
        <v>635</v>
      </c>
      <c r="B37" s="24" t="s">
        <v>202</v>
      </c>
      <c r="C37" s="549">
        <v>1610</v>
      </c>
      <c r="D37" s="577"/>
      <c r="E37" s="546">
        <v>87</v>
      </c>
      <c r="F37" s="546">
        <v>388.2</v>
      </c>
      <c r="G37" s="547">
        <f t="shared" si="0"/>
        <v>388.2</v>
      </c>
      <c r="H37" s="550">
        <v>2085.1999999999998</v>
      </c>
      <c r="I37" s="162">
        <v>0</v>
      </c>
      <c r="J37" s="549">
        <v>0</v>
      </c>
      <c r="K37" s="549">
        <v>0</v>
      </c>
      <c r="L37" s="8"/>
      <c r="M37" s="1"/>
      <c r="N37" s="1"/>
      <c r="O37" s="1"/>
      <c r="P37" s="1"/>
      <c r="Q37" s="1"/>
    </row>
    <row r="38" spans="1:17">
      <c r="A38" s="5">
        <v>636</v>
      </c>
      <c r="B38" s="24" t="s">
        <v>203</v>
      </c>
      <c r="C38" s="549">
        <v>971</v>
      </c>
      <c r="D38" s="577"/>
      <c r="E38" s="546">
        <v>414.7</v>
      </c>
      <c r="F38" s="546">
        <v>0</v>
      </c>
      <c r="G38" s="547">
        <f t="shared" si="0"/>
        <v>0</v>
      </c>
      <c r="H38" s="550">
        <v>1298</v>
      </c>
      <c r="I38" s="162">
        <v>0</v>
      </c>
      <c r="J38" s="549">
        <v>0</v>
      </c>
      <c r="K38" s="549">
        <v>0</v>
      </c>
      <c r="L38" s="8"/>
      <c r="M38" s="1"/>
      <c r="N38" s="1"/>
      <c r="O38" s="1"/>
      <c r="P38" s="1"/>
      <c r="Q38" s="1"/>
    </row>
    <row r="39" spans="1:17">
      <c r="A39" s="5">
        <v>637</v>
      </c>
      <c r="B39" s="24" t="s">
        <v>204</v>
      </c>
      <c r="C39" s="549">
        <v>971</v>
      </c>
      <c r="D39" s="577"/>
      <c r="E39" s="546">
        <v>414.7</v>
      </c>
      <c r="F39" s="546">
        <v>0</v>
      </c>
      <c r="G39" s="547">
        <f t="shared" si="0"/>
        <v>0</v>
      </c>
      <c r="H39" s="550">
        <v>1298</v>
      </c>
      <c r="I39" s="162">
        <v>0</v>
      </c>
      <c r="J39" s="549">
        <v>0</v>
      </c>
      <c r="K39" s="549">
        <v>0</v>
      </c>
      <c r="L39" s="8"/>
      <c r="M39" s="1"/>
      <c r="N39" s="1"/>
      <c r="O39" s="1"/>
      <c r="P39" s="1"/>
      <c r="Q39" s="1"/>
    </row>
    <row r="40" spans="1:17">
      <c r="A40" s="5">
        <v>638</v>
      </c>
      <c r="B40" s="24" t="s">
        <v>205</v>
      </c>
      <c r="C40" s="549">
        <v>906</v>
      </c>
      <c r="D40" s="577"/>
      <c r="E40" s="546">
        <v>414.7</v>
      </c>
      <c r="F40" s="546">
        <v>0</v>
      </c>
      <c r="G40" s="547">
        <f t="shared" si="0"/>
        <v>0</v>
      </c>
      <c r="H40" s="550">
        <v>1233</v>
      </c>
      <c r="I40" s="162">
        <v>0</v>
      </c>
      <c r="J40" s="549">
        <v>0</v>
      </c>
      <c r="K40" s="549">
        <v>0</v>
      </c>
      <c r="L40" s="8"/>
      <c r="M40" s="1"/>
      <c r="N40" s="1"/>
      <c r="O40" s="1"/>
      <c r="P40" s="1"/>
      <c r="Q40" s="1"/>
    </row>
    <row r="41" spans="1:17">
      <c r="A41" s="5">
        <v>639</v>
      </c>
      <c r="B41" s="24" t="s">
        <v>206</v>
      </c>
      <c r="C41" s="549">
        <v>1300</v>
      </c>
      <c r="D41" s="577"/>
      <c r="E41" s="546">
        <v>127</v>
      </c>
      <c r="F41" s="546">
        <v>0</v>
      </c>
      <c r="G41" s="547">
        <f t="shared" si="0"/>
        <v>0</v>
      </c>
      <c r="H41" s="550">
        <v>1427</v>
      </c>
      <c r="I41" s="162">
        <v>0</v>
      </c>
      <c r="J41" s="549">
        <v>0</v>
      </c>
      <c r="K41" s="549">
        <v>0</v>
      </c>
      <c r="L41" s="8"/>
      <c r="M41" s="1"/>
      <c r="N41" s="1"/>
      <c r="O41" s="1"/>
      <c r="P41" s="1"/>
      <c r="Q41" s="1"/>
    </row>
    <row r="42" spans="1:17">
      <c r="A42" s="5">
        <v>640</v>
      </c>
      <c r="B42" s="24" t="s">
        <v>207</v>
      </c>
      <c r="C42" s="549">
        <v>1680</v>
      </c>
      <c r="D42" s="577"/>
      <c r="E42" s="546">
        <v>77</v>
      </c>
      <c r="F42" s="546">
        <v>453</v>
      </c>
      <c r="G42" s="547">
        <f t="shared" si="0"/>
        <v>453</v>
      </c>
      <c r="H42" s="550">
        <v>1680</v>
      </c>
      <c r="I42" s="162">
        <v>0</v>
      </c>
      <c r="J42" s="549">
        <v>0</v>
      </c>
      <c r="K42" s="549">
        <v>0</v>
      </c>
      <c r="L42" s="8"/>
      <c r="M42" s="1"/>
      <c r="N42" s="1"/>
      <c r="O42" s="1"/>
      <c r="P42" s="1"/>
      <c r="Q42" s="1"/>
    </row>
    <row r="43" spans="1:17">
      <c r="A43" s="5">
        <v>641</v>
      </c>
      <c r="B43" s="24" t="s">
        <v>208</v>
      </c>
      <c r="C43" s="549">
        <v>1300</v>
      </c>
      <c r="D43" s="577"/>
      <c r="E43" s="546">
        <v>127</v>
      </c>
      <c r="F43" s="546">
        <v>388</v>
      </c>
      <c r="G43" s="547">
        <f t="shared" si="0"/>
        <v>388</v>
      </c>
      <c r="H43" s="550">
        <v>1394</v>
      </c>
      <c r="I43" s="162">
        <v>0</v>
      </c>
      <c r="J43" s="549">
        <v>0</v>
      </c>
      <c r="K43" s="549">
        <v>0</v>
      </c>
      <c r="L43" s="8"/>
      <c r="M43" s="1"/>
      <c r="N43" s="1"/>
      <c r="O43" s="1"/>
      <c r="P43" s="1"/>
      <c r="Q43" s="1"/>
    </row>
    <row r="44" spans="1:17">
      <c r="A44" s="5">
        <v>642</v>
      </c>
      <c r="B44" s="24" t="s">
        <v>209</v>
      </c>
      <c r="C44" s="549">
        <v>2913</v>
      </c>
      <c r="D44" s="577"/>
      <c r="E44" s="546">
        <v>0</v>
      </c>
      <c r="F44" s="546">
        <v>776</v>
      </c>
      <c r="G44" s="547">
        <f t="shared" si="0"/>
        <v>776</v>
      </c>
      <c r="H44" s="550">
        <v>3057</v>
      </c>
      <c r="I44" s="162">
        <v>0</v>
      </c>
      <c r="J44" s="549">
        <v>0</v>
      </c>
      <c r="K44" s="549">
        <v>0</v>
      </c>
      <c r="L44" s="8"/>
      <c r="M44" s="1"/>
      <c r="N44" s="1"/>
      <c r="O44" s="1"/>
      <c r="P44" s="1"/>
      <c r="Q44" s="1"/>
    </row>
    <row r="45" spans="1:17">
      <c r="A45" s="5">
        <v>643</v>
      </c>
      <c r="B45" s="24" t="s">
        <v>210</v>
      </c>
      <c r="C45" s="549">
        <v>1500</v>
      </c>
      <c r="D45" s="577"/>
      <c r="E45" s="546">
        <v>101</v>
      </c>
      <c r="F45" s="546">
        <v>388.2</v>
      </c>
      <c r="G45" s="547">
        <f t="shared" si="0"/>
        <v>388.2</v>
      </c>
      <c r="H45" s="550">
        <v>1989.2</v>
      </c>
      <c r="I45" s="162">
        <v>0</v>
      </c>
      <c r="J45" s="549">
        <v>0</v>
      </c>
      <c r="K45" s="549">
        <v>0</v>
      </c>
      <c r="L45" s="8"/>
      <c r="M45" s="1"/>
      <c r="N45" s="1"/>
      <c r="O45" s="1"/>
      <c r="P45" s="1"/>
      <c r="Q45" s="1"/>
    </row>
    <row r="46" spans="1:17">
      <c r="A46" s="5">
        <v>644</v>
      </c>
      <c r="B46" s="24" t="s">
        <v>211</v>
      </c>
      <c r="C46" s="549">
        <v>2490</v>
      </c>
      <c r="D46" s="577"/>
      <c r="E46" s="546">
        <v>0</v>
      </c>
      <c r="F46" s="546">
        <v>0</v>
      </c>
      <c r="G46" s="547">
        <f t="shared" si="0"/>
        <v>0</v>
      </c>
      <c r="H46" s="550">
        <v>2490</v>
      </c>
      <c r="I46" s="162">
        <v>0</v>
      </c>
      <c r="J46" s="549">
        <v>0</v>
      </c>
      <c r="K46" s="549">
        <v>0</v>
      </c>
      <c r="L46" s="8"/>
      <c r="M46" s="1"/>
      <c r="N46" s="1"/>
      <c r="O46" s="1"/>
      <c r="P46" s="1"/>
      <c r="Q46" s="1"/>
    </row>
    <row r="47" spans="1:17">
      <c r="A47" s="5">
        <v>645</v>
      </c>
      <c r="B47" s="24" t="s">
        <v>212</v>
      </c>
      <c r="C47" s="549">
        <v>2329</v>
      </c>
      <c r="D47" s="577"/>
      <c r="E47" s="546">
        <v>0</v>
      </c>
      <c r="F47" s="546">
        <v>0</v>
      </c>
      <c r="G47" s="547">
        <f t="shared" si="0"/>
        <v>0</v>
      </c>
      <c r="H47" s="550">
        <v>2329</v>
      </c>
      <c r="I47" s="162">
        <v>0</v>
      </c>
      <c r="J47" s="549">
        <v>0</v>
      </c>
      <c r="K47" s="549">
        <v>0</v>
      </c>
      <c r="L47" s="8"/>
      <c r="M47" s="1"/>
      <c r="N47" s="1"/>
      <c r="O47" s="1"/>
      <c r="P47" s="1"/>
      <c r="Q47" s="1"/>
    </row>
    <row r="48" spans="1:17">
      <c r="A48" s="5">
        <v>646</v>
      </c>
      <c r="B48" s="24" t="s">
        <v>213</v>
      </c>
      <c r="C48" s="549">
        <v>906</v>
      </c>
      <c r="D48" s="577"/>
      <c r="E48" s="546">
        <v>414.7</v>
      </c>
      <c r="F48" s="546">
        <v>0</v>
      </c>
      <c r="G48" s="547">
        <f t="shared" si="0"/>
        <v>0</v>
      </c>
      <c r="H48" s="550">
        <v>1233</v>
      </c>
      <c r="I48" s="162">
        <v>0</v>
      </c>
      <c r="J48" s="549">
        <v>0</v>
      </c>
      <c r="K48" s="549">
        <v>0</v>
      </c>
      <c r="L48" s="8"/>
      <c r="M48" s="1"/>
      <c r="N48" s="1"/>
      <c r="O48" s="1"/>
      <c r="P48" s="1"/>
      <c r="Q48" s="1"/>
    </row>
    <row r="49" spans="1:17">
      <c r="A49" s="5">
        <v>647</v>
      </c>
      <c r="B49" s="24" t="s">
        <v>214</v>
      </c>
      <c r="C49" s="549">
        <v>1830</v>
      </c>
      <c r="D49" s="577"/>
      <c r="E49" s="546">
        <v>58</v>
      </c>
      <c r="F49" s="546">
        <v>0</v>
      </c>
      <c r="G49" s="547">
        <f t="shared" si="0"/>
        <v>0</v>
      </c>
      <c r="H49" s="550">
        <v>1888</v>
      </c>
      <c r="I49" s="162">
        <v>0</v>
      </c>
      <c r="J49" s="549">
        <v>0</v>
      </c>
      <c r="K49" s="549">
        <v>0</v>
      </c>
      <c r="L49" s="8"/>
      <c r="M49" s="1"/>
      <c r="N49" s="1"/>
      <c r="O49" s="1"/>
      <c r="P49" s="1"/>
      <c r="Q49" s="1"/>
    </row>
    <row r="50" spans="1:17">
      <c r="A50" s="5">
        <v>648</v>
      </c>
      <c r="B50" s="24" t="s">
        <v>215</v>
      </c>
      <c r="C50" s="549">
        <v>1740</v>
      </c>
      <c r="D50" s="577"/>
      <c r="E50" s="546">
        <v>70</v>
      </c>
      <c r="F50" s="546">
        <v>517.6</v>
      </c>
      <c r="G50" s="547">
        <f t="shared" si="0"/>
        <v>517.6</v>
      </c>
      <c r="H50" s="550">
        <v>2327.6</v>
      </c>
      <c r="I50" s="162">
        <v>0</v>
      </c>
      <c r="J50" s="549">
        <v>0</v>
      </c>
      <c r="K50" s="549">
        <v>0</v>
      </c>
      <c r="L50" s="8"/>
      <c r="M50" s="1"/>
      <c r="N50" s="1"/>
      <c r="O50" s="1"/>
      <c r="P50" s="1"/>
      <c r="Q50" s="1"/>
    </row>
    <row r="51" spans="1:17">
      <c r="A51" s="5">
        <v>649</v>
      </c>
      <c r="B51" s="24" t="s">
        <v>216</v>
      </c>
      <c r="C51" s="549">
        <v>971</v>
      </c>
      <c r="D51" s="577"/>
      <c r="E51" s="546">
        <v>414.7</v>
      </c>
      <c r="F51" s="546">
        <v>0</v>
      </c>
      <c r="G51" s="547">
        <f t="shared" si="0"/>
        <v>0</v>
      </c>
      <c r="H51" s="550">
        <v>1298</v>
      </c>
      <c r="I51" s="162">
        <v>0</v>
      </c>
      <c r="J51" s="549">
        <v>0</v>
      </c>
      <c r="K51" s="549">
        <v>0</v>
      </c>
      <c r="L51" s="8"/>
      <c r="M51" s="1"/>
      <c r="N51" s="1"/>
      <c r="O51" s="1"/>
      <c r="P51" s="1"/>
      <c r="Q51" s="1"/>
    </row>
    <row r="52" spans="1:17">
      <c r="A52" s="5">
        <v>650</v>
      </c>
      <c r="B52" s="24" t="s">
        <v>217</v>
      </c>
      <c r="C52" s="549">
        <v>1740</v>
      </c>
      <c r="D52" s="577"/>
      <c r="E52" s="546">
        <v>70</v>
      </c>
      <c r="F52" s="546">
        <v>0</v>
      </c>
      <c r="G52" s="547">
        <f t="shared" si="0"/>
        <v>0</v>
      </c>
      <c r="H52" s="550">
        <v>1810</v>
      </c>
      <c r="I52" s="162">
        <v>0</v>
      </c>
      <c r="J52" s="549">
        <v>750</v>
      </c>
      <c r="K52" s="549">
        <v>0</v>
      </c>
      <c r="L52" s="8"/>
      <c r="M52" s="1"/>
      <c r="N52" s="1"/>
      <c r="O52" s="1"/>
      <c r="P52" s="1"/>
      <c r="Q52" s="1"/>
    </row>
    <row r="53" spans="1:17">
      <c r="A53" s="5">
        <v>651</v>
      </c>
      <c r="B53" s="24" t="s">
        <v>218</v>
      </c>
      <c r="C53" s="549">
        <v>971</v>
      </c>
      <c r="D53" s="577"/>
      <c r="E53" s="546">
        <v>414.7</v>
      </c>
      <c r="F53" s="546">
        <v>0</v>
      </c>
      <c r="G53" s="547">
        <f t="shared" si="0"/>
        <v>0</v>
      </c>
      <c r="H53" s="550">
        <v>1298</v>
      </c>
      <c r="I53" s="162">
        <v>0</v>
      </c>
      <c r="J53" s="549">
        <v>0</v>
      </c>
      <c r="K53" s="549">
        <v>0</v>
      </c>
      <c r="L53" s="8"/>
      <c r="M53" s="1"/>
      <c r="N53" s="1"/>
      <c r="O53" s="1"/>
      <c r="P53" s="1"/>
      <c r="Q53" s="1"/>
    </row>
    <row r="54" spans="1:17">
      <c r="A54" s="5">
        <v>652</v>
      </c>
      <c r="B54" s="24" t="s">
        <v>219</v>
      </c>
      <c r="C54" s="549">
        <v>1250</v>
      </c>
      <c r="D54" s="577"/>
      <c r="E54" s="546">
        <v>134</v>
      </c>
      <c r="F54" s="546">
        <v>0</v>
      </c>
      <c r="G54" s="547">
        <f t="shared" si="0"/>
        <v>0</v>
      </c>
      <c r="H54" s="550">
        <v>1384</v>
      </c>
      <c r="I54" s="162">
        <v>0</v>
      </c>
      <c r="J54" s="549">
        <v>0</v>
      </c>
      <c r="K54" s="549">
        <v>0</v>
      </c>
      <c r="L54" s="8"/>
      <c r="M54" s="1"/>
      <c r="N54" s="1"/>
      <c r="O54" s="1"/>
      <c r="P54" s="1"/>
      <c r="Q54" s="1"/>
    </row>
    <row r="55" spans="1:17">
      <c r="A55" s="5">
        <v>653</v>
      </c>
      <c r="B55" s="24" t="s">
        <v>220</v>
      </c>
      <c r="C55" s="549">
        <v>1400</v>
      </c>
      <c r="D55" s="577"/>
      <c r="E55" s="546">
        <v>114</v>
      </c>
      <c r="F55" s="546">
        <v>388</v>
      </c>
      <c r="G55" s="547">
        <f t="shared" si="0"/>
        <v>388</v>
      </c>
      <c r="H55" s="550">
        <v>1902</v>
      </c>
      <c r="I55" s="162">
        <v>0</v>
      </c>
      <c r="J55" s="549">
        <v>100</v>
      </c>
      <c r="K55" s="549">
        <v>0</v>
      </c>
      <c r="L55" s="8"/>
      <c r="M55" s="1"/>
      <c r="N55" s="1"/>
      <c r="O55" s="1"/>
      <c r="P55" s="1"/>
      <c r="Q55" s="1"/>
    </row>
    <row r="56" spans="1:17">
      <c r="A56" s="5">
        <v>654</v>
      </c>
      <c r="B56" s="24" t="s">
        <v>221</v>
      </c>
      <c r="C56" s="549">
        <v>1690</v>
      </c>
      <c r="D56" s="577"/>
      <c r="E56" s="546">
        <v>76</v>
      </c>
      <c r="F56" s="546">
        <v>453</v>
      </c>
      <c r="G56" s="547">
        <f t="shared" si="0"/>
        <v>453</v>
      </c>
      <c r="H56" s="550">
        <v>2219</v>
      </c>
      <c r="I56" s="162">
        <v>0</v>
      </c>
      <c r="J56" s="549">
        <v>300</v>
      </c>
      <c r="K56" s="549">
        <v>0</v>
      </c>
      <c r="L56" s="8"/>
      <c r="M56" s="1"/>
      <c r="N56" s="1"/>
      <c r="O56" s="1"/>
      <c r="P56" s="1"/>
      <c r="Q56" s="1"/>
    </row>
    <row r="57" spans="1:17">
      <c r="A57" s="5">
        <v>655</v>
      </c>
      <c r="B57" s="24" t="s">
        <v>222</v>
      </c>
      <c r="C57" s="549">
        <v>1550</v>
      </c>
      <c r="D57" s="577"/>
      <c r="E57" s="546">
        <v>94</v>
      </c>
      <c r="F57" s="546">
        <v>388</v>
      </c>
      <c r="G57" s="547">
        <f t="shared" si="0"/>
        <v>388</v>
      </c>
      <c r="H57" s="550">
        <v>2032</v>
      </c>
      <c r="I57" s="162">
        <v>0</v>
      </c>
      <c r="J57" s="549">
        <v>200</v>
      </c>
      <c r="K57" s="549">
        <v>0</v>
      </c>
      <c r="L57" s="8"/>
      <c r="M57" s="1"/>
      <c r="N57" s="1"/>
      <c r="O57" s="1"/>
      <c r="P57" s="1"/>
      <c r="Q57" s="1"/>
    </row>
    <row r="58" spans="1:17">
      <c r="A58" s="5">
        <v>657</v>
      </c>
      <c r="B58" s="24" t="s">
        <v>223</v>
      </c>
      <c r="C58" s="549">
        <v>1340</v>
      </c>
      <c r="D58" s="577"/>
      <c r="E58" s="546">
        <v>122</v>
      </c>
      <c r="F58" s="546">
        <v>0</v>
      </c>
      <c r="G58" s="547">
        <f t="shared" si="0"/>
        <v>0</v>
      </c>
      <c r="H58" s="550">
        <v>1462</v>
      </c>
      <c r="I58" s="162">
        <v>0</v>
      </c>
      <c r="J58" s="549">
        <v>0</v>
      </c>
      <c r="K58" s="549">
        <v>0</v>
      </c>
      <c r="L58" s="8"/>
      <c r="M58" s="1"/>
      <c r="N58" s="1"/>
      <c r="O58" s="1"/>
      <c r="P58" s="1"/>
      <c r="Q58" s="1"/>
    </row>
    <row r="59" spans="1:17">
      <c r="A59" s="5">
        <v>658</v>
      </c>
      <c r="B59" s="24" t="s">
        <v>224</v>
      </c>
      <c r="C59" s="549">
        <v>1300</v>
      </c>
      <c r="D59" s="577"/>
      <c r="E59" s="546">
        <v>127</v>
      </c>
      <c r="F59" s="546">
        <v>0</v>
      </c>
      <c r="G59" s="547">
        <f t="shared" si="0"/>
        <v>0</v>
      </c>
      <c r="H59" s="550">
        <v>1427</v>
      </c>
      <c r="I59" s="162">
        <v>0</v>
      </c>
      <c r="J59" s="549">
        <v>0</v>
      </c>
      <c r="K59" s="549">
        <v>0</v>
      </c>
      <c r="L59" s="8"/>
      <c r="M59" s="1"/>
      <c r="N59" s="1"/>
      <c r="O59" s="1"/>
      <c r="P59" s="1"/>
      <c r="Q59" s="1"/>
    </row>
    <row r="60" spans="1:17">
      <c r="A60" s="5">
        <v>659</v>
      </c>
      <c r="B60" s="24" t="s">
        <v>225</v>
      </c>
      <c r="C60" s="549">
        <v>1340</v>
      </c>
      <c r="D60" s="577"/>
      <c r="E60" s="546">
        <v>122</v>
      </c>
      <c r="F60" s="546">
        <v>0</v>
      </c>
      <c r="G60" s="547">
        <f t="shared" si="0"/>
        <v>0</v>
      </c>
      <c r="H60" s="550">
        <v>1462</v>
      </c>
      <c r="I60" s="162">
        <v>0</v>
      </c>
      <c r="J60" s="549">
        <v>0</v>
      </c>
      <c r="K60" s="549">
        <v>0</v>
      </c>
      <c r="L60" s="8"/>
      <c r="M60" s="1"/>
      <c r="N60" s="1"/>
      <c r="O60" s="1"/>
      <c r="P60" s="1"/>
      <c r="Q60" s="1"/>
    </row>
    <row r="61" spans="1:17">
      <c r="A61" s="5">
        <v>660</v>
      </c>
      <c r="B61" s="24" t="s">
        <v>226</v>
      </c>
      <c r="C61" s="549">
        <v>1300</v>
      </c>
      <c r="D61" s="577"/>
      <c r="E61" s="546">
        <v>127</v>
      </c>
      <c r="F61" s="546">
        <v>0</v>
      </c>
      <c r="G61" s="547">
        <f t="shared" si="0"/>
        <v>0</v>
      </c>
      <c r="H61" s="550">
        <v>1427</v>
      </c>
      <c r="I61" s="162">
        <v>0</v>
      </c>
      <c r="J61" s="549">
        <v>0</v>
      </c>
      <c r="K61" s="549">
        <v>0</v>
      </c>
      <c r="L61" s="8"/>
      <c r="M61" s="1"/>
      <c r="N61" s="1"/>
      <c r="O61" s="1"/>
      <c r="P61" s="1"/>
      <c r="Q61" s="1"/>
    </row>
    <row r="62" spans="1:17">
      <c r="A62" s="5">
        <v>661</v>
      </c>
      <c r="B62" s="24" t="s">
        <v>227</v>
      </c>
      <c r="C62" s="549">
        <v>1300</v>
      </c>
      <c r="D62" s="577"/>
      <c r="E62" s="546">
        <v>127</v>
      </c>
      <c r="F62" s="546">
        <v>0</v>
      </c>
      <c r="G62" s="547">
        <f t="shared" si="0"/>
        <v>0</v>
      </c>
      <c r="H62" s="550">
        <v>1427</v>
      </c>
      <c r="I62" s="162">
        <v>0</v>
      </c>
      <c r="J62" s="549">
        <v>0</v>
      </c>
      <c r="K62" s="549">
        <v>0</v>
      </c>
      <c r="L62" s="8"/>
      <c r="M62" s="1"/>
      <c r="N62" s="1"/>
      <c r="O62" s="1"/>
      <c r="P62" s="1"/>
      <c r="Q62" s="1"/>
    </row>
    <row r="63" spans="1:17">
      <c r="A63" s="5">
        <v>662</v>
      </c>
      <c r="B63" s="24" t="s">
        <v>228</v>
      </c>
      <c r="C63" s="549">
        <v>1690</v>
      </c>
      <c r="D63" s="577"/>
      <c r="E63" s="546">
        <v>76</v>
      </c>
      <c r="F63" s="546">
        <v>0</v>
      </c>
      <c r="G63" s="547">
        <f t="shared" si="0"/>
        <v>0</v>
      </c>
      <c r="H63" s="550">
        <v>1766</v>
      </c>
      <c r="I63" s="162">
        <v>0</v>
      </c>
      <c r="J63" s="549">
        <v>708</v>
      </c>
      <c r="K63" s="549">
        <v>0</v>
      </c>
      <c r="L63" s="8"/>
      <c r="M63" s="1"/>
      <c r="N63" s="1"/>
      <c r="O63" s="1"/>
      <c r="P63" s="1"/>
      <c r="Q63" s="1"/>
    </row>
    <row r="64" spans="1:17">
      <c r="A64" s="5">
        <v>663</v>
      </c>
      <c r="B64" s="24" t="s">
        <v>229</v>
      </c>
      <c r="C64" s="549">
        <v>1500</v>
      </c>
      <c r="D64" s="577"/>
      <c r="E64" s="546">
        <v>101</v>
      </c>
      <c r="F64" s="546">
        <v>388</v>
      </c>
      <c r="G64" s="547">
        <f t="shared" si="0"/>
        <v>388</v>
      </c>
      <c r="H64" s="550">
        <v>1989</v>
      </c>
      <c r="I64" s="162">
        <v>0</v>
      </c>
      <c r="J64" s="549">
        <v>0</v>
      </c>
      <c r="K64" s="549">
        <v>0</v>
      </c>
      <c r="L64" s="8"/>
      <c r="M64" s="1"/>
      <c r="N64" s="1"/>
      <c r="O64" s="1"/>
      <c r="P64" s="1"/>
      <c r="Q64" s="1"/>
    </row>
    <row r="65" spans="1:17">
      <c r="A65" s="5">
        <v>664</v>
      </c>
      <c r="B65" s="24" t="s">
        <v>230</v>
      </c>
      <c r="C65" s="549">
        <v>971</v>
      </c>
      <c r="D65" s="577"/>
      <c r="E65" s="546">
        <v>414.7</v>
      </c>
      <c r="F65" s="546">
        <v>0</v>
      </c>
      <c r="G65" s="547">
        <f t="shared" si="0"/>
        <v>0</v>
      </c>
      <c r="H65" s="550">
        <v>1298</v>
      </c>
      <c r="I65" s="162">
        <v>0</v>
      </c>
      <c r="J65" s="549">
        <v>620</v>
      </c>
      <c r="K65" s="549">
        <v>0</v>
      </c>
      <c r="L65" s="8"/>
      <c r="M65" s="1"/>
      <c r="N65" s="1"/>
      <c r="O65" s="1"/>
      <c r="P65" s="1"/>
      <c r="Q65" s="1"/>
    </row>
    <row r="66" spans="1:17">
      <c r="A66" s="5">
        <v>667</v>
      </c>
      <c r="B66" s="24" t="s">
        <v>231</v>
      </c>
      <c r="C66" s="549">
        <v>2000</v>
      </c>
      <c r="D66" s="577"/>
      <c r="E66" s="546">
        <v>36</v>
      </c>
      <c r="F66" s="546">
        <v>647</v>
      </c>
      <c r="G66" s="547">
        <f t="shared" si="0"/>
        <v>647</v>
      </c>
      <c r="H66" s="550">
        <v>2683</v>
      </c>
      <c r="I66" s="162">
        <v>0</v>
      </c>
      <c r="J66" s="549">
        <v>830</v>
      </c>
      <c r="K66" s="549">
        <v>0</v>
      </c>
      <c r="L66" s="8"/>
      <c r="M66" s="1"/>
      <c r="N66" s="1"/>
      <c r="O66" s="1"/>
      <c r="P66" s="1"/>
      <c r="Q66" s="1"/>
    </row>
    <row r="67" spans="1:17">
      <c r="A67" s="5">
        <v>668</v>
      </c>
      <c r="B67" s="24" t="s">
        <v>232</v>
      </c>
      <c r="C67" s="549">
        <v>1840</v>
      </c>
      <c r="D67" s="577"/>
      <c r="E67" s="546">
        <v>57</v>
      </c>
      <c r="F67" s="546">
        <v>582.29999999999995</v>
      </c>
      <c r="G67" s="547">
        <f t="shared" ref="G67:G97" si="1">F67</f>
        <v>582.29999999999995</v>
      </c>
      <c r="H67" s="550">
        <v>2479.3000000000002</v>
      </c>
      <c r="I67" s="162">
        <v>0</v>
      </c>
      <c r="J67" s="549">
        <v>830</v>
      </c>
      <c r="K67" s="549">
        <v>0</v>
      </c>
      <c r="L67" s="8"/>
      <c r="M67" s="1"/>
      <c r="N67" s="1"/>
      <c r="O67" s="1"/>
      <c r="P67" s="1"/>
      <c r="Q67" s="1"/>
    </row>
    <row r="68" spans="1:17">
      <c r="A68" s="5">
        <v>669</v>
      </c>
      <c r="B68" s="24" t="s">
        <v>233</v>
      </c>
      <c r="C68" s="549">
        <v>1680</v>
      </c>
      <c r="D68" s="577"/>
      <c r="E68" s="546">
        <v>77</v>
      </c>
      <c r="F68" s="546">
        <v>452.9</v>
      </c>
      <c r="G68" s="547">
        <f t="shared" si="1"/>
        <v>452.9</v>
      </c>
      <c r="H68" s="550">
        <v>2209.9</v>
      </c>
      <c r="I68" s="162">
        <v>0</v>
      </c>
      <c r="J68" s="549">
        <v>830</v>
      </c>
      <c r="K68" s="549">
        <v>0</v>
      </c>
      <c r="L68" s="8"/>
      <c r="M68" s="1"/>
      <c r="N68" s="1"/>
      <c r="O68" s="1"/>
      <c r="P68" s="1"/>
      <c r="Q68" s="1"/>
    </row>
    <row r="69" spans="1:17">
      <c r="A69" s="5">
        <v>670</v>
      </c>
      <c r="B69" s="24" t="s">
        <v>234</v>
      </c>
      <c r="C69" s="549">
        <v>1740</v>
      </c>
      <c r="D69" s="577"/>
      <c r="E69" s="546">
        <v>70</v>
      </c>
      <c r="F69" s="546">
        <v>517.6</v>
      </c>
      <c r="G69" s="547">
        <f t="shared" si="1"/>
        <v>517.6</v>
      </c>
      <c r="H69" s="550">
        <v>2327.6</v>
      </c>
      <c r="I69" s="162">
        <v>0</v>
      </c>
      <c r="J69" s="549">
        <v>750</v>
      </c>
      <c r="K69" s="549">
        <v>0</v>
      </c>
      <c r="L69" s="8"/>
      <c r="M69" s="1"/>
      <c r="N69" s="1"/>
      <c r="O69" s="1"/>
      <c r="P69" s="1"/>
      <c r="Q69" s="1"/>
    </row>
    <row r="70" spans="1:17">
      <c r="A70" s="5">
        <v>671</v>
      </c>
      <c r="B70" s="24" t="s">
        <v>235</v>
      </c>
      <c r="C70" s="549">
        <v>1610</v>
      </c>
      <c r="D70" s="577"/>
      <c r="E70" s="546">
        <v>87</v>
      </c>
      <c r="F70" s="546">
        <v>0</v>
      </c>
      <c r="G70" s="547">
        <f t="shared" si="1"/>
        <v>0</v>
      </c>
      <c r="H70" s="550">
        <v>1697</v>
      </c>
      <c r="I70" s="162">
        <v>0</v>
      </c>
      <c r="J70" s="549">
        <v>750</v>
      </c>
      <c r="K70" s="549">
        <v>0</v>
      </c>
      <c r="L70" s="8"/>
      <c r="M70" s="1"/>
      <c r="N70" s="1"/>
      <c r="O70" s="1"/>
      <c r="P70" s="1"/>
      <c r="Q70" s="1"/>
    </row>
    <row r="71" spans="1:17">
      <c r="A71" s="5">
        <v>672</v>
      </c>
      <c r="B71" s="24" t="s">
        <v>236</v>
      </c>
      <c r="C71" s="549">
        <v>2000</v>
      </c>
      <c r="D71" s="577"/>
      <c r="E71" s="546">
        <v>36</v>
      </c>
      <c r="F71" s="546">
        <v>647</v>
      </c>
      <c r="G71" s="547">
        <f t="shared" si="1"/>
        <v>647</v>
      </c>
      <c r="H71" s="550">
        <v>2683</v>
      </c>
      <c r="I71" s="162">
        <v>0</v>
      </c>
      <c r="J71" s="549">
        <v>300</v>
      </c>
      <c r="K71" s="549">
        <v>0</v>
      </c>
      <c r="L71" s="8"/>
      <c r="M71" s="1"/>
      <c r="N71" s="1"/>
      <c r="O71" s="1"/>
      <c r="P71" s="1"/>
      <c r="Q71" s="1"/>
    </row>
    <row r="72" spans="1:17">
      <c r="A72" s="5">
        <v>673</v>
      </c>
      <c r="B72" s="24" t="s">
        <v>237</v>
      </c>
      <c r="C72" s="549">
        <v>1840</v>
      </c>
      <c r="D72" s="577"/>
      <c r="E72" s="546">
        <v>57</v>
      </c>
      <c r="F72" s="546">
        <v>582.29999999999995</v>
      </c>
      <c r="G72" s="547">
        <f t="shared" si="1"/>
        <v>582.29999999999995</v>
      </c>
      <c r="H72" s="550">
        <v>2479.3000000000002</v>
      </c>
      <c r="I72" s="162">
        <v>0</v>
      </c>
      <c r="J72" s="549">
        <v>300</v>
      </c>
      <c r="K72" s="549">
        <v>0</v>
      </c>
      <c r="L72" s="8"/>
      <c r="M72" s="1"/>
      <c r="N72" s="1"/>
      <c r="O72" s="1"/>
      <c r="P72" s="1"/>
      <c r="Q72" s="1"/>
    </row>
    <row r="73" spans="1:17">
      <c r="A73" s="5">
        <v>674</v>
      </c>
      <c r="B73" s="24" t="s">
        <v>238</v>
      </c>
      <c r="C73" s="549">
        <v>1680</v>
      </c>
      <c r="D73" s="577"/>
      <c r="E73" s="546">
        <v>77</v>
      </c>
      <c r="F73" s="546">
        <v>452.9</v>
      </c>
      <c r="G73" s="547">
        <f t="shared" si="1"/>
        <v>452.9</v>
      </c>
      <c r="H73" s="550">
        <v>2209.9</v>
      </c>
      <c r="I73" s="162">
        <v>0</v>
      </c>
      <c r="J73" s="549">
        <v>300</v>
      </c>
      <c r="K73" s="549">
        <v>0</v>
      </c>
      <c r="L73" s="8"/>
      <c r="M73" s="1"/>
      <c r="N73" s="1"/>
      <c r="O73" s="1"/>
      <c r="P73" s="1"/>
      <c r="Q73" s="1"/>
    </row>
    <row r="74" spans="1:17">
      <c r="A74" s="5">
        <v>675</v>
      </c>
      <c r="B74" s="24" t="s">
        <v>239</v>
      </c>
      <c r="C74" s="549">
        <v>1740</v>
      </c>
      <c r="D74" s="577"/>
      <c r="E74" s="546">
        <v>70</v>
      </c>
      <c r="F74" s="546">
        <v>517</v>
      </c>
      <c r="G74" s="547">
        <f t="shared" si="1"/>
        <v>517</v>
      </c>
      <c r="H74" s="550">
        <v>2327</v>
      </c>
      <c r="I74" s="162">
        <v>0</v>
      </c>
      <c r="J74" s="549">
        <v>725</v>
      </c>
      <c r="K74" s="549">
        <v>0</v>
      </c>
      <c r="L74" s="8"/>
      <c r="M74" s="1"/>
      <c r="N74" s="1"/>
      <c r="O74" s="1"/>
      <c r="P74" s="1"/>
      <c r="Q74" s="1"/>
    </row>
    <row r="75" spans="1:17">
      <c r="A75" s="5">
        <v>676</v>
      </c>
      <c r="B75" s="24" t="s">
        <v>240</v>
      </c>
      <c r="C75" s="549">
        <v>1610</v>
      </c>
      <c r="D75" s="577"/>
      <c r="E75" s="546">
        <v>87</v>
      </c>
      <c r="F75" s="546">
        <v>388</v>
      </c>
      <c r="G75" s="547">
        <f t="shared" si="1"/>
        <v>388</v>
      </c>
      <c r="H75" s="550">
        <v>2085</v>
      </c>
      <c r="I75" s="162">
        <v>0</v>
      </c>
      <c r="J75" s="549">
        <v>725</v>
      </c>
      <c r="K75" s="549">
        <v>0</v>
      </c>
      <c r="L75" s="8"/>
      <c r="M75" s="1"/>
      <c r="N75" s="1"/>
      <c r="O75" s="1"/>
      <c r="P75" s="1"/>
      <c r="Q75" s="1"/>
    </row>
    <row r="76" spans="1:17">
      <c r="A76" s="5">
        <v>677</v>
      </c>
      <c r="B76" s="24" t="s">
        <v>241</v>
      </c>
      <c r="C76" s="549">
        <v>1500</v>
      </c>
      <c r="D76" s="577"/>
      <c r="E76" s="546">
        <v>101</v>
      </c>
      <c r="F76" s="546">
        <v>388</v>
      </c>
      <c r="G76" s="547">
        <f t="shared" si="1"/>
        <v>388</v>
      </c>
      <c r="H76" s="550">
        <v>1989</v>
      </c>
      <c r="I76" s="162">
        <v>0</v>
      </c>
      <c r="J76" s="549">
        <v>725</v>
      </c>
      <c r="K76" s="549">
        <v>0</v>
      </c>
      <c r="L76" s="8"/>
      <c r="M76" s="1"/>
      <c r="N76" s="1"/>
      <c r="O76" s="1"/>
      <c r="P76" s="1"/>
      <c r="Q76" s="1"/>
    </row>
    <row r="77" spans="1:17">
      <c r="A77" s="5">
        <v>678</v>
      </c>
      <c r="B77" s="24" t="s">
        <v>242</v>
      </c>
      <c r="C77" s="549">
        <v>1320</v>
      </c>
      <c r="D77" s="577"/>
      <c r="E77" s="546">
        <v>124</v>
      </c>
      <c r="F77" s="546">
        <v>0</v>
      </c>
      <c r="G77" s="547">
        <f t="shared" si="1"/>
        <v>0</v>
      </c>
      <c r="H77" s="550">
        <v>1444</v>
      </c>
      <c r="I77" s="162">
        <v>0</v>
      </c>
      <c r="J77" s="549">
        <v>590</v>
      </c>
      <c r="K77" s="549">
        <v>0</v>
      </c>
      <c r="L77" s="8"/>
      <c r="M77" s="1"/>
      <c r="N77" s="1"/>
      <c r="O77" s="1"/>
      <c r="P77" s="1"/>
      <c r="Q77" s="1"/>
    </row>
    <row r="78" spans="1:17">
      <c r="A78" s="5">
        <v>679</v>
      </c>
      <c r="B78" s="24" t="s">
        <v>243</v>
      </c>
      <c r="C78" s="549">
        <v>1690</v>
      </c>
      <c r="D78" s="577"/>
      <c r="E78" s="546">
        <v>76</v>
      </c>
      <c r="F78" s="546">
        <v>0</v>
      </c>
      <c r="G78" s="547">
        <f t="shared" si="1"/>
        <v>0</v>
      </c>
      <c r="H78" s="550">
        <v>1766</v>
      </c>
      <c r="I78" s="162">
        <v>0</v>
      </c>
      <c r="J78" s="549">
        <v>708</v>
      </c>
      <c r="K78" s="549">
        <v>0</v>
      </c>
      <c r="L78" s="8"/>
      <c r="M78" s="1"/>
      <c r="N78" s="1"/>
      <c r="O78" s="1"/>
      <c r="P78" s="1"/>
      <c r="Q78" s="1"/>
    </row>
    <row r="79" spans="1:17">
      <c r="A79" s="5">
        <v>680</v>
      </c>
      <c r="B79" s="24" t="s">
        <v>244</v>
      </c>
      <c r="C79" s="549">
        <v>1550</v>
      </c>
      <c r="D79" s="577"/>
      <c r="E79" s="546">
        <v>94</v>
      </c>
      <c r="F79" s="546">
        <v>0</v>
      </c>
      <c r="G79" s="547">
        <f t="shared" si="1"/>
        <v>0</v>
      </c>
      <c r="H79" s="550">
        <v>1644</v>
      </c>
      <c r="I79" s="162">
        <v>0</v>
      </c>
      <c r="J79" s="549">
        <v>708</v>
      </c>
      <c r="K79" s="549">
        <v>0</v>
      </c>
      <c r="L79" s="8"/>
      <c r="M79" s="1"/>
      <c r="N79" s="1"/>
      <c r="O79" s="1"/>
      <c r="P79" s="1"/>
      <c r="Q79" s="1"/>
    </row>
    <row r="80" spans="1:17">
      <c r="A80" s="5">
        <v>681</v>
      </c>
      <c r="B80" s="24" t="s">
        <v>245</v>
      </c>
      <c r="C80" s="549">
        <v>1400</v>
      </c>
      <c r="D80" s="577"/>
      <c r="E80" s="546">
        <v>114</v>
      </c>
      <c r="F80" s="546">
        <v>0</v>
      </c>
      <c r="G80" s="547">
        <f t="shared" si="1"/>
        <v>0</v>
      </c>
      <c r="H80" s="550">
        <v>1514</v>
      </c>
      <c r="I80" s="162">
        <v>0</v>
      </c>
      <c r="J80" s="549">
        <v>708</v>
      </c>
      <c r="K80" s="549">
        <v>0</v>
      </c>
      <c r="L80" s="8"/>
      <c r="M80" s="1"/>
      <c r="N80" s="1"/>
      <c r="O80" s="1"/>
      <c r="P80" s="1"/>
      <c r="Q80" s="1"/>
    </row>
    <row r="81" spans="1:17">
      <c r="A81" s="5">
        <v>682</v>
      </c>
      <c r="B81" s="25" t="s">
        <v>246</v>
      </c>
      <c r="C81" s="549">
        <v>1170</v>
      </c>
      <c r="D81" s="577"/>
      <c r="E81" s="546">
        <v>144</v>
      </c>
      <c r="F81" s="546">
        <v>0</v>
      </c>
      <c r="G81" s="547">
        <f t="shared" si="1"/>
        <v>0</v>
      </c>
      <c r="H81" s="550">
        <v>1314</v>
      </c>
      <c r="I81" s="162">
        <v>0</v>
      </c>
      <c r="J81" s="549">
        <v>580</v>
      </c>
      <c r="K81" s="549">
        <v>0</v>
      </c>
      <c r="L81" s="8"/>
      <c r="M81" s="1"/>
      <c r="N81" s="1"/>
      <c r="O81" s="1"/>
      <c r="P81" s="1"/>
      <c r="Q81" s="1"/>
    </row>
    <row r="82" spans="1:17">
      <c r="A82" s="5">
        <v>683</v>
      </c>
      <c r="B82" s="25" t="s">
        <v>247</v>
      </c>
      <c r="C82" s="549">
        <v>1170</v>
      </c>
      <c r="D82" s="577"/>
      <c r="E82" s="546">
        <v>144</v>
      </c>
      <c r="F82" s="546">
        <v>0</v>
      </c>
      <c r="G82" s="547">
        <f t="shared" si="1"/>
        <v>0</v>
      </c>
      <c r="H82" s="550">
        <v>1314</v>
      </c>
      <c r="I82" s="162">
        <v>0</v>
      </c>
      <c r="J82" s="549">
        <v>580</v>
      </c>
      <c r="K82" s="549">
        <v>0</v>
      </c>
      <c r="L82" s="8"/>
      <c r="M82" s="1"/>
      <c r="N82" s="1"/>
      <c r="O82" s="1"/>
      <c r="P82" s="1"/>
      <c r="Q82" s="1"/>
    </row>
    <row r="83" spans="1:17">
      <c r="A83" s="5">
        <v>684</v>
      </c>
      <c r="B83" s="24" t="s">
        <v>248</v>
      </c>
      <c r="C83" s="549">
        <v>1170</v>
      </c>
      <c r="D83" s="577"/>
      <c r="E83" s="546">
        <v>144</v>
      </c>
      <c r="F83" s="546">
        <v>0</v>
      </c>
      <c r="G83" s="547">
        <f t="shared" si="1"/>
        <v>0</v>
      </c>
      <c r="H83" s="550">
        <v>1314</v>
      </c>
      <c r="I83" s="162">
        <v>0</v>
      </c>
      <c r="J83" s="549">
        <v>580</v>
      </c>
      <c r="K83" s="549">
        <v>0</v>
      </c>
      <c r="L83" s="8"/>
      <c r="M83" s="1"/>
      <c r="N83" s="1"/>
      <c r="O83" s="1"/>
      <c r="P83" s="1"/>
      <c r="Q83" s="1"/>
    </row>
    <row r="84" spans="1:17">
      <c r="A84" s="5">
        <v>685</v>
      </c>
      <c r="B84" s="24" t="s">
        <v>249</v>
      </c>
      <c r="C84" s="549">
        <v>1500</v>
      </c>
      <c r="D84" s="577"/>
      <c r="E84" s="546">
        <v>101</v>
      </c>
      <c r="F84" s="546">
        <v>388.2</v>
      </c>
      <c r="G84" s="547">
        <f t="shared" si="1"/>
        <v>388.2</v>
      </c>
      <c r="H84" s="550">
        <v>1989.2</v>
      </c>
      <c r="I84" s="162">
        <v>0</v>
      </c>
      <c r="J84" s="549">
        <v>750</v>
      </c>
      <c r="K84" s="549">
        <v>0</v>
      </c>
      <c r="L84" s="8"/>
      <c r="M84" s="1"/>
      <c r="N84" s="1"/>
      <c r="O84" s="1"/>
      <c r="P84" s="1"/>
      <c r="Q84" s="1"/>
    </row>
    <row r="85" spans="1:17">
      <c r="A85" s="5">
        <v>686</v>
      </c>
      <c r="B85" s="24" t="s">
        <v>250</v>
      </c>
      <c r="C85" s="549">
        <v>2000</v>
      </c>
      <c r="D85" s="577"/>
      <c r="E85" s="546">
        <v>36</v>
      </c>
      <c r="F85" s="546">
        <v>647</v>
      </c>
      <c r="G85" s="547">
        <f t="shared" si="1"/>
        <v>647</v>
      </c>
      <c r="H85" s="550">
        <v>2683</v>
      </c>
      <c r="I85" s="162">
        <v>0</v>
      </c>
      <c r="J85" s="549">
        <v>600</v>
      </c>
      <c r="K85" s="549">
        <v>0</v>
      </c>
      <c r="L85" s="8"/>
      <c r="M85" s="1"/>
      <c r="N85" s="1"/>
      <c r="O85" s="1"/>
      <c r="P85" s="1"/>
      <c r="Q85" s="1"/>
    </row>
    <row r="86" spans="1:17">
      <c r="A86" s="5">
        <v>687</v>
      </c>
      <c r="B86" s="24" t="s">
        <v>251</v>
      </c>
      <c r="C86" s="549">
        <v>1840</v>
      </c>
      <c r="D86" s="577"/>
      <c r="E86" s="546">
        <v>57</v>
      </c>
      <c r="F86" s="546">
        <v>582.29999999999995</v>
      </c>
      <c r="G86" s="547">
        <f t="shared" si="1"/>
        <v>582.29999999999995</v>
      </c>
      <c r="H86" s="550">
        <v>2479.3000000000002</v>
      </c>
      <c r="I86" s="162">
        <v>0</v>
      </c>
      <c r="J86" s="549">
        <v>600</v>
      </c>
      <c r="K86" s="549">
        <v>0</v>
      </c>
      <c r="L86" s="8"/>
      <c r="M86" s="1"/>
      <c r="N86" s="1"/>
      <c r="O86" s="1"/>
      <c r="P86" s="1"/>
      <c r="Q86" s="1"/>
    </row>
    <row r="87" spans="1:17">
      <c r="A87" s="5">
        <v>688</v>
      </c>
      <c r="B87" s="24" t="s">
        <v>252</v>
      </c>
      <c r="C87" s="549">
        <v>1680</v>
      </c>
      <c r="D87" s="577"/>
      <c r="E87" s="546">
        <v>77</v>
      </c>
      <c r="F87" s="546">
        <v>0</v>
      </c>
      <c r="G87" s="547">
        <f t="shared" si="1"/>
        <v>0</v>
      </c>
      <c r="H87" s="550">
        <v>1757</v>
      </c>
      <c r="I87" s="162">
        <v>0</v>
      </c>
      <c r="J87" s="549">
        <v>600</v>
      </c>
      <c r="K87" s="549">
        <v>0</v>
      </c>
      <c r="L87" s="8"/>
      <c r="M87" s="1"/>
      <c r="N87" s="1"/>
      <c r="O87" s="1"/>
      <c r="P87" s="1"/>
      <c r="Q87" s="1"/>
    </row>
    <row r="88" spans="1:17">
      <c r="A88" s="5">
        <v>689</v>
      </c>
      <c r="B88" s="25" t="s">
        <v>253</v>
      </c>
      <c r="C88" s="549">
        <v>1170</v>
      </c>
      <c r="D88" s="577"/>
      <c r="E88" s="546">
        <v>144</v>
      </c>
      <c r="F88" s="546">
        <v>0</v>
      </c>
      <c r="G88" s="547">
        <f t="shared" si="1"/>
        <v>0</v>
      </c>
      <c r="H88" s="550">
        <v>1314</v>
      </c>
      <c r="I88" s="162">
        <v>0</v>
      </c>
      <c r="J88" s="549">
        <v>580</v>
      </c>
      <c r="K88" s="549">
        <v>0</v>
      </c>
      <c r="L88" s="8"/>
      <c r="M88" s="1"/>
      <c r="N88" s="1"/>
      <c r="O88" s="1"/>
      <c r="P88" s="1"/>
      <c r="Q88" s="1"/>
    </row>
    <row r="89" spans="1:17">
      <c r="A89" s="5">
        <v>691</v>
      </c>
      <c r="B89" s="24" t="s">
        <v>254</v>
      </c>
      <c r="C89" s="549">
        <v>1500</v>
      </c>
      <c r="D89" s="577"/>
      <c r="E89" s="546">
        <v>101</v>
      </c>
      <c r="F89" s="546">
        <v>0</v>
      </c>
      <c r="G89" s="547">
        <f t="shared" si="1"/>
        <v>0</v>
      </c>
      <c r="H89" s="550">
        <v>1601</v>
      </c>
      <c r="I89" s="162">
        <v>0</v>
      </c>
      <c r="J89" s="549">
        <v>750</v>
      </c>
      <c r="K89" s="549">
        <v>0</v>
      </c>
      <c r="L89" s="8"/>
      <c r="M89" s="1"/>
      <c r="N89" s="1"/>
      <c r="O89" s="1"/>
      <c r="P89" s="1"/>
      <c r="Q89" s="1"/>
    </row>
    <row r="90" spans="1:17">
      <c r="A90" s="5">
        <v>692</v>
      </c>
      <c r="B90" s="24" t="s">
        <v>255</v>
      </c>
      <c r="C90" s="549">
        <v>1690</v>
      </c>
      <c r="D90" s="577"/>
      <c r="E90" s="546">
        <v>76</v>
      </c>
      <c r="F90" s="546">
        <v>0</v>
      </c>
      <c r="G90" s="547">
        <f t="shared" si="1"/>
        <v>0</v>
      </c>
      <c r="H90" s="550">
        <v>1766</v>
      </c>
      <c r="I90" s="162">
        <v>0</v>
      </c>
      <c r="J90" s="549">
        <v>620</v>
      </c>
      <c r="K90" s="549">
        <v>0</v>
      </c>
      <c r="L90" s="8"/>
      <c r="M90" s="1"/>
      <c r="N90" s="1"/>
      <c r="O90" s="1"/>
      <c r="P90" s="1"/>
      <c r="Q90" s="1"/>
    </row>
    <row r="91" spans="1:17">
      <c r="A91" s="5">
        <v>693</v>
      </c>
      <c r="B91" s="24" t="s">
        <v>256</v>
      </c>
      <c r="C91" s="549">
        <v>1550</v>
      </c>
      <c r="D91" s="577"/>
      <c r="E91" s="546">
        <v>94</v>
      </c>
      <c r="F91" s="546">
        <v>0</v>
      </c>
      <c r="G91" s="547">
        <f t="shared" si="1"/>
        <v>0</v>
      </c>
      <c r="H91" s="550">
        <v>1644</v>
      </c>
      <c r="I91" s="162">
        <v>0</v>
      </c>
      <c r="J91" s="549">
        <v>620</v>
      </c>
      <c r="K91" s="549">
        <v>0</v>
      </c>
      <c r="L91" s="8"/>
      <c r="M91" s="1"/>
      <c r="N91" s="1"/>
      <c r="O91" s="1"/>
      <c r="P91" s="1"/>
      <c r="Q91" s="1"/>
    </row>
    <row r="92" spans="1:17">
      <c r="A92" s="5">
        <v>694</v>
      </c>
      <c r="B92" s="24" t="s">
        <v>257</v>
      </c>
      <c r="C92" s="549">
        <v>1400</v>
      </c>
      <c r="D92" s="577"/>
      <c r="E92" s="546">
        <v>114</v>
      </c>
      <c r="F92" s="546">
        <v>0</v>
      </c>
      <c r="G92" s="547">
        <f t="shared" si="1"/>
        <v>0</v>
      </c>
      <c r="H92" s="550">
        <v>1514</v>
      </c>
      <c r="I92" s="162">
        <v>0</v>
      </c>
      <c r="J92" s="549">
        <v>620</v>
      </c>
      <c r="K92" s="549">
        <v>0</v>
      </c>
      <c r="L92" s="8"/>
      <c r="M92" s="1"/>
      <c r="N92" s="1"/>
      <c r="O92" s="1"/>
      <c r="P92" s="1"/>
      <c r="Q92" s="1"/>
    </row>
    <row r="93" spans="1:17">
      <c r="A93" s="5">
        <v>695</v>
      </c>
      <c r="B93" s="24" t="s">
        <v>258</v>
      </c>
      <c r="C93" s="549">
        <v>906</v>
      </c>
      <c r="D93" s="577"/>
      <c r="E93" s="546">
        <v>414.7</v>
      </c>
      <c r="F93" s="546">
        <v>0</v>
      </c>
      <c r="G93" s="547">
        <f t="shared" si="1"/>
        <v>0</v>
      </c>
      <c r="H93" s="550">
        <v>1233</v>
      </c>
      <c r="I93" s="162">
        <v>0</v>
      </c>
      <c r="J93" s="549">
        <v>0</v>
      </c>
      <c r="K93" s="549">
        <v>0</v>
      </c>
      <c r="L93" s="8"/>
      <c r="M93" s="1"/>
      <c r="N93" s="1"/>
      <c r="O93" s="1"/>
      <c r="P93" s="1"/>
      <c r="Q93" s="1"/>
    </row>
    <row r="94" spans="1:17">
      <c r="A94" s="5">
        <v>696</v>
      </c>
      <c r="B94" s="24" t="s">
        <v>259</v>
      </c>
      <c r="C94" s="549">
        <v>1500</v>
      </c>
      <c r="D94" s="577"/>
      <c r="E94" s="546">
        <v>101</v>
      </c>
      <c r="F94" s="546">
        <v>388.2</v>
      </c>
      <c r="G94" s="547">
        <f t="shared" si="1"/>
        <v>388.2</v>
      </c>
      <c r="H94" s="550">
        <v>1989.2</v>
      </c>
      <c r="I94" s="162">
        <v>0</v>
      </c>
      <c r="J94" s="549">
        <v>0</v>
      </c>
      <c r="K94" s="549">
        <v>0</v>
      </c>
      <c r="L94" s="8"/>
      <c r="M94" s="1"/>
      <c r="N94" s="1"/>
      <c r="O94" s="1"/>
      <c r="P94" s="1"/>
      <c r="Q94" s="1"/>
    </row>
    <row r="95" spans="1:17">
      <c r="A95" s="5">
        <v>697</v>
      </c>
      <c r="B95" s="24" t="s">
        <v>260</v>
      </c>
      <c r="C95" s="549">
        <v>1500</v>
      </c>
      <c r="D95" s="577"/>
      <c r="E95" s="546">
        <v>101</v>
      </c>
      <c r="F95" s="546">
        <v>0</v>
      </c>
      <c r="G95" s="547">
        <f t="shared" si="1"/>
        <v>0</v>
      </c>
      <c r="H95" s="550">
        <v>1601</v>
      </c>
      <c r="I95" s="162">
        <v>0</v>
      </c>
      <c r="J95" s="549">
        <v>0</v>
      </c>
      <c r="K95" s="549">
        <v>0</v>
      </c>
      <c r="L95" s="8"/>
      <c r="M95" s="1"/>
      <c r="N95" s="1"/>
      <c r="O95" s="1"/>
      <c r="P95" s="1"/>
      <c r="Q95" s="1"/>
    </row>
    <row r="96" spans="1:17">
      <c r="A96" s="5">
        <v>698</v>
      </c>
      <c r="B96" s="24" t="s">
        <v>261</v>
      </c>
      <c r="C96" s="549">
        <v>1690</v>
      </c>
      <c r="D96" s="577"/>
      <c r="E96" s="546">
        <v>76</v>
      </c>
      <c r="F96" s="546">
        <v>0</v>
      </c>
      <c r="G96" s="547">
        <f t="shared" si="1"/>
        <v>0</v>
      </c>
      <c r="H96" s="550">
        <v>1766</v>
      </c>
      <c r="I96" s="162">
        <v>0</v>
      </c>
      <c r="J96" s="549">
        <v>0</v>
      </c>
      <c r="K96" s="549">
        <v>0</v>
      </c>
      <c r="L96" s="8"/>
      <c r="M96" s="1"/>
      <c r="N96" s="1"/>
      <c r="O96" s="1"/>
      <c r="P96" s="1"/>
      <c r="Q96" s="1"/>
    </row>
    <row r="97" spans="1:17">
      <c r="A97" s="5">
        <v>699</v>
      </c>
      <c r="B97" s="24" t="s">
        <v>262</v>
      </c>
      <c r="C97" s="549">
        <v>1550</v>
      </c>
      <c r="D97" s="577"/>
      <c r="E97" s="546">
        <v>94</v>
      </c>
      <c r="F97" s="546">
        <v>0</v>
      </c>
      <c r="G97" s="547">
        <f t="shared" si="1"/>
        <v>0</v>
      </c>
      <c r="H97" s="550">
        <v>1644</v>
      </c>
      <c r="I97" s="162">
        <v>0</v>
      </c>
      <c r="J97" s="549">
        <v>0</v>
      </c>
      <c r="K97" s="549">
        <v>0</v>
      </c>
      <c r="L97" s="8"/>
      <c r="M97" s="1"/>
      <c r="N97" s="1"/>
      <c r="O97" s="1"/>
      <c r="P97" s="1"/>
      <c r="Q97" s="1"/>
    </row>
    <row r="98" spans="1:17">
      <c r="A98" s="26">
        <v>702</v>
      </c>
      <c r="B98" s="27" t="s">
        <v>263</v>
      </c>
      <c r="C98" s="553">
        <v>1400</v>
      </c>
      <c r="D98" s="577"/>
      <c r="E98" s="546">
        <v>114</v>
      </c>
      <c r="F98" s="546">
        <v>310</v>
      </c>
      <c r="G98" s="551">
        <f>F98*1.25</f>
        <v>387.5</v>
      </c>
      <c r="H98" s="550">
        <v>1727</v>
      </c>
      <c r="I98" s="552">
        <v>0</v>
      </c>
      <c r="J98" s="553">
        <v>0</v>
      </c>
      <c r="K98" s="553">
        <v>0</v>
      </c>
      <c r="L98" s="29"/>
      <c r="M98" s="30"/>
      <c r="N98" s="30"/>
      <c r="O98" s="30"/>
      <c r="P98" s="30"/>
      <c r="Q98" s="30"/>
    </row>
    <row r="99" spans="1:17">
      <c r="A99" s="5">
        <v>703</v>
      </c>
      <c r="B99" s="27" t="s">
        <v>264</v>
      </c>
      <c r="C99" s="549">
        <v>1400</v>
      </c>
      <c r="D99" s="577"/>
      <c r="E99" s="546">
        <v>114</v>
      </c>
      <c r="F99" s="546">
        <v>310</v>
      </c>
      <c r="G99" s="551">
        <f t="shared" ref="G99:G102" si="2">F99*1.25</f>
        <v>387.5</v>
      </c>
      <c r="H99" s="550">
        <v>1400</v>
      </c>
      <c r="I99" s="162">
        <v>0</v>
      </c>
      <c r="J99" s="549">
        <v>0</v>
      </c>
      <c r="K99" s="549">
        <v>0</v>
      </c>
      <c r="L99" s="8"/>
      <c r="M99" s="1"/>
      <c r="N99" s="1"/>
      <c r="O99" s="1"/>
      <c r="P99" s="1"/>
      <c r="Q99" s="1"/>
    </row>
    <row r="100" spans="1:17">
      <c r="A100" s="5">
        <v>704</v>
      </c>
      <c r="B100" s="27" t="s">
        <v>265</v>
      </c>
      <c r="C100" s="549">
        <v>1300</v>
      </c>
      <c r="D100" s="577"/>
      <c r="E100" s="546">
        <v>127</v>
      </c>
      <c r="F100" s="546">
        <v>310</v>
      </c>
      <c r="G100" s="551">
        <f t="shared" si="2"/>
        <v>387.5</v>
      </c>
      <c r="H100" s="550">
        <v>1673</v>
      </c>
      <c r="I100" s="162">
        <v>0</v>
      </c>
      <c r="J100" s="549">
        <v>0</v>
      </c>
      <c r="K100" s="549">
        <v>0</v>
      </c>
      <c r="L100" s="8"/>
      <c r="M100" s="1"/>
      <c r="N100" s="1"/>
      <c r="O100" s="1"/>
      <c r="P100" s="1"/>
      <c r="Q100" s="1"/>
    </row>
    <row r="101" spans="1:17">
      <c r="A101" s="5">
        <v>705</v>
      </c>
      <c r="B101" s="27" t="s">
        <v>266</v>
      </c>
      <c r="C101" s="549">
        <v>1300</v>
      </c>
      <c r="D101" s="577"/>
      <c r="E101" s="546">
        <v>127</v>
      </c>
      <c r="F101" s="546">
        <v>310</v>
      </c>
      <c r="G101" s="551">
        <f t="shared" si="2"/>
        <v>387.5</v>
      </c>
      <c r="H101" s="550">
        <v>1739</v>
      </c>
      <c r="I101" s="162">
        <v>0</v>
      </c>
      <c r="J101" s="549">
        <v>0</v>
      </c>
      <c r="K101" s="549">
        <v>0</v>
      </c>
      <c r="L101" s="8"/>
      <c r="M101" s="1"/>
      <c r="N101" s="1"/>
      <c r="O101" s="1"/>
      <c r="P101" s="1"/>
      <c r="Q101" s="1"/>
    </row>
    <row r="102" spans="1:17">
      <c r="A102" s="5">
        <v>706</v>
      </c>
      <c r="B102" s="27" t="s">
        <v>267</v>
      </c>
      <c r="C102" s="549">
        <v>1250</v>
      </c>
      <c r="D102" s="577"/>
      <c r="E102" s="546">
        <v>134</v>
      </c>
      <c r="F102" s="546">
        <v>310</v>
      </c>
      <c r="G102" s="551">
        <f t="shared" si="2"/>
        <v>387.5</v>
      </c>
      <c r="H102" s="550">
        <v>1250</v>
      </c>
      <c r="I102" s="162">
        <v>0</v>
      </c>
      <c r="J102" s="549">
        <v>0</v>
      </c>
      <c r="K102" s="549">
        <v>0</v>
      </c>
      <c r="L102" s="8"/>
      <c r="M102" s="1"/>
      <c r="N102" s="1"/>
      <c r="O102" s="1"/>
      <c r="P102" s="1"/>
      <c r="Q102" s="1"/>
    </row>
    <row r="103" spans="1:17">
      <c r="A103" s="5">
        <v>707</v>
      </c>
      <c r="B103" s="24" t="s">
        <v>268</v>
      </c>
      <c r="C103" s="549">
        <v>2913</v>
      </c>
      <c r="D103" s="577"/>
      <c r="E103" s="546">
        <v>0</v>
      </c>
      <c r="F103" s="546">
        <v>776</v>
      </c>
      <c r="G103" s="547">
        <f t="shared" ref="G103:G110" si="3">F103</f>
        <v>776</v>
      </c>
      <c r="H103" s="550">
        <v>3379</v>
      </c>
      <c r="I103" s="162">
        <v>0</v>
      </c>
      <c r="J103" s="549">
        <v>0</v>
      </c>
      <c r="K103" s="549">
        <v>0</v>
      </c>
      <c r="L103" s="8"/>
      <c r="M103" s="1"/>
      <c r="N103" s="1"/>
      <c r="O103" s="1"/>
      <c r="P103" s="1"/>
      <c r="Q103" s="1"/>
    </row>
    <row r="104" spans="1:17">
      <c r="A104" s="5">
        <v>708</v>
      </c>
      <c r="B104" s="24" t="s">
        <v>269</v>
      </c>
      <c r="C104" s="549">
        <v>3146</v>
      </c>
      <c r="D104" s="577"/>
      <c r="E104" s="546">
        <v>0</v>
      </c>
      <c r="F104" s="546">
        <v>776</v>
      </c>
      <c r="G104" s="547">
        <f t="shared" si="3"/>
        <v>776</v>
      </c>
      <c r="H104" s="550">
        <v>3612</v>
      </c>
      <c r="I104" s="162">
        <v>0</v>
      </c>
      <c r="J104" s="549">
        <v>0</v>
      </c>
      <c r="K104" s="549">
        <v>0</v>
      </c>
      <c r="L104" s="8"/>
      <c r="M104" s="1"/>
      <c r="N104" s="1"/>
      <c r="O104" s="1"/>
      <c r="P104" s="1"/>
      <c r="Q104" s="1"/>
    </row>
    <row r="105" spans="1:17">
      <c r="A105" s="5">
        <v>709</v>
      </c>
      <c r="B105" s="24" t="s">
        <v>270</v>
      </c>
      <c r="C105" s="549">
        <v>2913</v>
      </c>
      <c r="D105" s="577"/>
      <c r="E105" s="546">
        <v>0</v>
      </c>
      <c r="F105" s="546">
        <v>776</v>
      </c>
      <c r="G105" s="547">
        <f t="shared" si="3"/>
        <v>776</v>
      </c>
      <c r="H105" s="550">
        <v>3379</v>
      </c>
      <c r="I105" s="162">
        <v>0</v>
      </c>
      <c r="J105" s="549">
        <v>0</v>
      </c>
      <c r="K105" s="549">
        <v>0</v>
      </c>
      <c r="L105" s="8"/>
      <c r="M105" s="1"/>
      <c r="N105" s="1"/>
      <c r="O105" s="1"/>
      <c r="P105" s="1"/>
      <c r="Q105" s="1"/>
    </row>
    <row r="106" spans="1:17">
      <c r="A106" s="5">
        <v>710</v>
      </c>
      <c r="B106" s="24" t="s">
        <v>271</v>
      </c>
      <c r="C106" s="549">
        <v>2913</v>
      </c>
      <c r="D106" s="577"/>
      <c r="E106" s="546">
        <v>0</v>
      </c>
      <c r="F106" s="546">
        <v>776</v>
      </c>
      <c r="G106" s="547">
        <f t="shared" si="3"/>
        <v>776</v>
      </c>
      <c r="H106" s="550">
        <v>3379</v>
      </c>
      <c r="I106" s="162">
        <v>20</v>
      </c>
      <c r="J106" s="549">
        <v>0</v>
      </c>
      <c r="K106" s="549">
        <v>0</v>
      </c>
      <c r="L106" s="8"/>
      <c r="M106" s="1"/>
      <c r="N106" s="1"/>
      <c r="O106" s="1"/>
      <c r="P106" s="1"/>
      <c r="Q106" s="1"/>
    </row>
    <row r="107" spans="1:17">
      <c r="A107" s="5">
        <v>711</v>
      </c>
      <c r="B107" s="24" t="s">
        <v>272</v>
      </c>
      <c r="C107" s="549">
        <v>2913</v>
      </c>
      <c r="D107" s="577"/>
      <c r="E107" s="546">
        <v>0</v>
      </c>
      <c r="F107" s="546">
        <v>776</v>
      </c>
      <c r="G107" s="547">
        <f t="shared" si="3"/>
        <v>776</v>
      </c>
      <c r="H107" s="550">
        <v>3379</v>
      </c>
      <c r="I107" s="162">
        <v>0</v>
      </c>
      <c r="J107" s="549">
        <v>0</v>
      </c>
      <c r="K107" s="549">
        <v>0</v>
      </c>
      <c r="L107" s="8"/>
      <c r="M107" s="1"/>
      <c r="N107" s="1"/>
      <c r="O107" s="1"/>
      <c r="P107" s="1"/>
      <c r="Q107" s="1"/>
    </row>
    <row r="108" spans="1:17">
      <c r="A108" s="5">
        <v>712</v>
      </c>
      <c r="B108" s="24" t="s">
        <v>273</v>
      </c>
      <c r="C108" s="549">
        <v>2913</v>
      </c>
      <c r="D108" s="577"/>
      <c r="E108" s="546">
        <v>0</v>
      </c>
      <c r="F108" s="546">
        <v>776</v>
      </c>
      <c r="G108" s="547">
        <f t="shared" si="3"/>
        <v>776</v>
      </c>
      <c r="H108" s="550">
        <v>3379</v>
      </c>
      <c r="I108" s="162">
        <v>0</v>
      </c>
      <c r="J108" s="549">
        <v>0</v>
      </c>
      <c r="K108" s="549">
        <v>0</v>
      </c>
      <c r="L108" s="8"/>
      <c r="M108" s="1"/>
      <c r="N108" s="1"/>
      <c r="O108" s="1"/>
      <c r="P108" s="1"/>
      <c r="Q108" s="1"/>
    </row>
    <row r="109" spans="1:17">
      <c r="A109" s="5">
        <v>713</v>
      </c>
      <c r="B109" s="24" t="s">
        <v>274</v>
      </c>
      <c r="C109" s="549">
        <v>2913</v>
      </c>
      <c r="D109" s="577"/>
      <c r="E109" s="546">
        <v>0</v>
      </c>
      <c r="F109" s="546">
        <v>776</v>
      </c>
      <c r="G109" s="547">
        <f t="shared" si="3"/>
        <v>776</v>
      </c>
      <c r="H109" s="550">
        <v>3379</v>
      </c>
      <c r="I109" s="162">
        <v>0</v>
      </c>
      <c r="J109" s="549">
        <v>0</v>
      </c>
      <c r="K109" s="549">
        <v>0</v>
      </c>
      <c r="L109" s="8"/>
      <c r="M109" s="1"/>
      <c r="N109" s="1"/>
      <c r="O109" s="1"/>
      <c r="P109" s="1"/>
      <c r="Q109" s="1"/>
    </row>
    <row r="110" spans="1:17">
      <c r="A110" s="5">
        <v>714</v>
      </c>
      <c r="B110" s="24" t="s">
        <v>275</v>
      </c>
      <c r="C110" s="549">
        <v>2913</v>
      </c>
      <c r="D110" s="577"/>
      <c r="E110" s="546">
        <v>0</v>
      </c>
      <c r="F110" s="546">
        <v>0</v>
      </c>
      <c r="G110" s="547">
        <f t="shared" si="3"/>
        <v>0</v>
      </c>
      <c r="H110" s="550">
        <v>2913</v>
      </c>
      <c r="I110" s="162">
        <v>0</v>
      </c>
      <c r="J110" s="549">
        <v>0</v>
      </c>
      <c r="K110" s="549">
        <v>0</v>
      </c>
      <c r="L110" s="8"/>
      <c r="M110" s="1"/>
      <c r="N110" s="1"/>
      <c r="O110" s="1"/>
      <c r="P110" s="1"/>
      <c r="Q110" s="1"/>
    </row>
    <row r="111" spans="1:17">
      <c r="A111" s="5">
        <v>715</v>
      </c>
      <c r="B111" s="24" t="s">
        <v>276</v>
      </c>
      <c r="C111" s="549">
        <v>1912</v>
      </c>
      <c r="D111" s="577"/>
      <c r="E111" s="546">
        <v>47</v>
      </c>
      <c r="F111" s="546">
        <v>613.29999999999995</v>
      </c>
      <c r="G111" s="551">
        <f t="shared" ref="G111:G174" si="4">F111*1.25</f>
        <v>766.625</v>
      </c>
      <c r="H111" s="550">
        <v>2419</v>
      </c>
      <c r="I111" s="162">
        <v>0</v>
      </c>
      <c r="J111" s="549">
        <v>42</v>
      </c>
      <c r="K111" s="549">
        <v>0</v>
      </c>
      <c r="L111" s="8"/>
      <c r="M111" s="1"/>
      <c r="N111" s="1"/>
      <c r="O111" s="1"/>
      <c r="P111" s="1"/>
      <c r="Q111" s="1"/>
    </row>
    <row r="112" spans="1:17">
      <c r="A112" s="5">
        <v>716</v>
      </c>
      <c r="B112" s="24" t="s">
        <v>277</v>
      </c>
      <c r="C112" s="549">
        <v>1942</v>
      </c>
      <c r="D112" s="577">
        <v>744</v>
      </c>
      <c r="E112" s="546">
        <v>43</v>
      </c>
      <c r="F112" s="546">
        <v>517.29999999999995</v>
      </c>
      <c r="G112" s="551">
        <f t="shared" si="4"/>
        <v>646.625</v>
      </c>
      <c r="H112" s="550">
        <v>2373</v>
      </c>
      <c r="I112" s="162">
        <v>0</v>
      </c>
      <c r="J112" s="549">
        <v>0</v>
      </c>
      <c r="K112" s="549">
        <v>0</v>
      </c>
      <c r="L112" s="9">
        <v>782</v>
      </c>
      <c r="M112" s="1"/>
      <c r="N112" s="1"/>
      <c r="O112" s="1"/>
      <c r="P112" s="1"/>
      <c r="Q112" s="1"/>
    </row>
    <row r="113" spans="1:17">
      <c r="A113" s="5">
        <v>717</v>
      </c>
      <c r="B113" s="24" t="s">
        <v>278</v>
      </c>
      <c r="C113" s="549">
        <v>2100</v>
      </c>
      <c r="D113" s="577"/>
      <c r="E113" s="546">
        <v>23</v>
      </c>
      <c r="F113" s="546">
        <v>517.29999999999995</v>
      </c>
      <c r="G113" s="551">
        <f t="shared" si="4"/>
        <v>646.625</v>
      </c>
      <c r="H113" s="550">
        <v>2511</v>
      </c>
      <c r="I113" s="162">
        <v>150</v>
      </c>
      <c r="J113" s="549">
        <v>0</v>
      </c>
      <c r="K113" s="549">
        <v>0</v>
      </c>
      <c r="L113" s="8"/>
      <c r="M113" s="1"/>
      <c r="N113" s="1"/>
      <c r="O113" s="1"/>
      <c r="P113" s="1"/>
      <c r="Q113" s="1"/>
    </row>
    <row r="114" spans="1:17">
      <c r="A114" s="5">
        <v>718</v>
      </c>
      <c r="B114" s="24" t="s">
        <v>279</v>
      </c>
      <c r="C114" s="549">
        <v>1942</v>
      </c>
      <c r="D114" s="577"/>
      <c r="E114" s="546">
        <v>43</v>
      </c>
      <c r="F114" s="546">
        <v>517.29999999999995</v>
      </c>
      <c r="G114" s="551">
        <f t="shared" si="4"/>
        <v>646.625</v>
      </c>
      <c r="H114" s="550">
        <v>2373</v>
      </c>
      <c r="I114" s="162">
        <v>17</v>
      </c>
      <c r="J114" s="549">
        <v>0</v>
      </c>
      <c r="K114" s="549">
        <v>0</v>
      </c>
      <c r="L114" s="8"/>
      <c r="M114" s="1"/>
      <c r="N114" s="1"/>
      <c r="O114" s="1"/>
      <c r="P114" s="1"/>
      <c r="Q114" s="1"/>
    </row>
    <row r="115" spans="1:17">
      <c r="A115" s="5">
        <v>719</v>
      </c>
      <c r="B115" s="24" t="s">
        <v>280</v>
      </c>
      <c r="C115" s="549">
        <v>1782</v>
      </c>
      <c r="D115" s="577">
        <v>744</v>
      </c>
      <c r="E115" s="546">
        <v>64</v>
      </c>
      <c r="F115" s="546">
        <v>465.3</v>
      </c>
      <c r="G115" s="551">
        <f t="shared" si="4"/>
        <v>581.625</v>
      </c>
      <c r="H115" s="550">
        <v>2195</v>
      </c>
      <c r="I115" s="162">
        <v>0</v>
      </c>
      <c r="J115" s="549">
        <v>0</v>
      </c>
      <c r="K115" s="549">
        <v>0</v>
      </c>
      <c r="L115" s="9">
        <v>782</v>
      </c>
      <c r="M115" s="1"/>
      <c r="N115" s="1"/>
      <c r="O115" s="1"/>
      <c r="P115" s="1"/>
      <c r="Q115" s="1"/>
    </row>
    <row r="116" spans="1:17">
      <c r="A116" s="5">
        <v>720</v>
      </c>
      <c r="B116" s="24" t="s">
        <v>281</v>
      </c>
      <c r="C116" s="549">
        <v>1782</v>
      </c>
      <c r="D116" s="577"/>
      <c r="E116" s="546">
        <v>64</v>
      </c>
      <c r="F116" s="546">
        <v>465.3</v>
      </c>
      <c r="G116" s="551">
        <f t="shared" si="4"/>
        <v>581.625</v>
      </c>
      <c r="H116" s="550">
        <v>2195</v>
      </c>
      <c r="I116" s="162">
        <v>17</v>
      </c>
      <c r="J116" s="549">
        <v>0</v>
      </c>
      <c r="K116" s="549">
        <v>0</v>
      </c>
      <c r="L116" s="8"/>
      <c r="M116" s="1"/>
      <c r="N116" s="1"/>
      <c r="O116" s="1"/>
      <c r="P116" s="1"/>
      <c r="Q116" s="1"/>
    </row>
    <row r="117" spans="1:17">
      <c r="A117" s="5">
        <v>721</v>
      </c>
      <c r="B117" s="24" t="s">
        <v>282</v>
      </c>
      <c r="C117" s="549">
        <v>1942</v>
      </c>
      <c r="D117" s="577"/>
      <c r="E117" s="546">
        <v>43</v>
      </c>
      <c r="F117" s="546">
        <v>517.29999999999995</v>
      </c>
      <c r="G117" s="551">
        <f t="shared" si="4"/>
        <v>646.625</v>
      </c>
      <c r="H117" s="550">
        <v>2373</v>
      </c>
      <c r="I117" s="162">
        <v>150</v>
      </c>
      <c r="J117" s="549">
        <v>0</v>
      </c>
      <c r="K117" s="549">
        <v>0</v>
      </c>
      <c r="L117" s="8"/>
      <c r="M117" s="1"/>
      <c r="N117" s="1"/>
      <c r="O117" s="1"/>
      <c r="P117" s="1"/>
      <c r="Q117" s="1"/>
    </row>
    <row r="118" spans="1:17">
      <c r="A118" s="5">
        <v>722</v>
      </c>
      <c r="B118" s="24" t="s">
        <v>283</v>
      </c>
      <c r="C118" s="549">
        <v>1692</v>
      </c>
      <c r="D118" s="577">
        <v>744</v>
      </c>
      <c r="E118" s="546">
        <v>76</v>
      </c>
      <c r="F118" s="546">
        <v>362.7</v>
      </c>
      <c r="G118" s="551">
        <f t="shared" si="4"/>
        <v>453.375</v>
      </c>
      <c r="H118" s="550">
        <v>2040</v>
      </c>
      <c r="I118" s="162">
        <v>0</v>
      </c>
      <c r="J118" s="549">
        <v>0</v>
      </c>
      <c r="K118" s="549">
        <v>0</v>
      </c>
      <c r="L118" s="9">
        <v>744</v>
      </c>
      <c r="M118" s="1"/>
      <c r="N118" s="1"/>
      <c r="O118" s="1"/>
      <c r="P118" s="1"/>
      <c r="Q118" s="1"/>
    </row>
    <row r="119" spans="1:17">
      <c r="A119" s="5">
        <v>723</v>
      </c>
      <c r="B119" s="24" t="s">
        <v>284</v>
      </c>
      <c r="C119" s="549">
        <v>1700</v>
      </c>
      <c r="D119" s="577">
        <v>650</v>
      </c>
      <c r="E119" s="546">
        <v>75</v>
      </c>
      <c r="F119" s="546">
        <v>310.7</v>
      </c>
      <c r="G119" s="551">
        <f t="shared" si="4"/>
        <v>388.375</v>
      </c>
      <c r="H119" s="550">
        <v>2008</v>
      </c>
      <c r="I119" s="162">
        <v>0</v>
      </c>
      <c r="J119" s="549">
        <v>0</v>
      </c>
      <c r="K119" s="549">
        <v>0</v>
      </c>
      <c r="L119" s="9">
        <v>769</v>
      </c>
      <c r="M119" s="1"/>
      <c r="N119" s="1"/>
      <c r="O119" s="1"/>
      <c r="P119" s="1"/>
      <c r="Q119" s="1"/>
    </row>
    <row r="120" spans="1:17">
      <c r="A120" s="5">
        <v>724</v>
      </c>
      <c r="B120" s="24" t="s">
        <v>285</v>
      </c>
      <c r="C120" s="549">
        <v>1942</v>
      </c>
      <c r="D120" s="577"/>
      <c r="E120" s="546">
        <v>43</v>
      </c>
      <c r="F120" s="546">
        <v>621.29999999999995</v>
      </c>
      <c r="G120" s="551">
        <f t="shared" si="4"/>
        <v>776.625</v>
      </c>
      <c r="H120" s="550">
        <v>2451</v>
      </c>
      <c r="I120" s="162">
        <v>150</v>
      </c>
      <c r="J120" s="549">
        <v>0</v>
      </c>
      <c r="K120" s="549">
        <v>0</v>
      </c>
      <c r="L120" s="8"/>
      <c r="M120" s="1"/>
      <c r="N120" s="1"/>
      <c r="O120" s="1"/>
      <c r="P120" s="1"/>
      <c r="Q120" s="1"/>
    </row>
    <row r="121" spans="1:17">
      <c r="A121" s="5">
        <v>725</v>
      </c>
      <c r="B121" s="24" t="s">
        <v>286</v>
      </c>
      <c r="C121" s="549">
        <v>1592</v>
      </c>
      <c r="D121" s="577">
        <v>744</v>
      </c>
      <c r="E121" s="546">
        <v>89</v>
      </c>
      <c r="F121" s="546">
        <v>310.7</v>
      </c>
      <c r="G121" s="551">
        <f t="shared" si="4"/>
        <v>388.375</v>
      </c>
      <c r="H121" s="550">
        <v>1914</v>
      </c>
      <c r="I121" s="162">
        <v>0</v>
      </c>
      <c r="J121" s="549">
        <v>0</v>
      </c>
      <c r="K121" s="549">
        <v>0</v>
      </c>
      <c r="L121" s="9">
        <v>738</v>
      </c>
      <c r="M121" s="1"/>
      <c r="N121" s="1"/>
      <c r="O121" s="1"/>
      <c r="P121" s="1"/>
      <c r="Q121" s="1"/>
    </row>
    <row r="122" spans="1:17">
      <c r="A122" s="5">
        <v>726</v>
      </c>
      <c r="B122" s="24" t="s">
        <v>287</v>
      </c>
      <c r="C122" s="549">
        <v>1500</v>
      </c>
      <c r="D122" s="577"/>
      <c r="E122" s="546">
        <v>101</v>
      </c>
      <c r="F122" s="546">
        <v>0</v>
      </c>
      <c r="G122" s="547">
        <f>F122</f>
        <v>0</v>
      </c>
      <c r="H122" s="550">
        <v>1601</v>
      </c>
      <c r="I122" s="162">
        <v>150</v>
      </c>
      <c r="J122" s="549">
        <v>0</v>
      </c>
      <c r="K122" s="549">
        <v>0</v>
      </c>
      <c r="L122" s="8"/>
      <c r="M122" s="1"/>
      <c r="N122" s="1"/>
      <c r="O122" s="1"/>
      <c r="P122" s="1"/>
      <c r="Q122" s="1"/>
    </row>
    <row r="123" spans="1:17">
      <c r="A123" s="26">
        <v>727</v>
      </c>
      <c r="B123" s="31" t="s">
        <v>288</v>
      </c>
      <c r="C123" s="560">
        <v>1600</v>
      </c>
      <c r="D123" s="578">
        <v>650</v>
      </c>
      <c r="E123" s="546">
        <v>88</v>
      </c>
      <c r="F123" s="546">
        <v>310.7</v>
      </c>
      <c r="G123" s="551">
        <f t="shared" si="4"/>
        <v>388.375</v>
      </c>
      <c r="H123" s="550">
        <v>1921</v>
      </c>
      <c r="I123" s="552">
        <v>0</v>
      </c>
      <c r="J123" s="553">
        <v>0</v>
      </c>
      <c r="K123" s="553">
        <v>0</v>
      </c>
      <c r="L123" s="9">
        <v>738</v>
      </c>
      <c r="M123" s="1"/>
      <c r="N123" s="1"/>
      <c r="O123" s="1"/>
      <c r="P123" s="1"/>
      <c r="Q123" s="1"/>
    </row>
    <row r="124" spans="1:17">
      <c r="A124" s="5">
        <v>728</v>
      </c>
      <c r="B124" s="24" t="s">
        <v>289</v>
      </c>
      <c r="C124" s="549">
        <v>1360</v>
      </c>
      <c r="D124" s="577"/>
      <c r="E124" s="546">
        <v>120</v>
      </c>
      <c r="F124" s="546">
        <v>310.7</v>
      </c>
      <c r="G124" s="551">
        <f t="shared" si="4"/>
        <v>388.375</v>
      </c>
      <c r="H124" s="550">
        <v>1713</v>
      </c>
      <c r="I124" s="162">
        <v>17</v>
      </c>
      <c r="J124" s="549">
        <v>0</v>
      </c>
      <c r="K124" s="549">
        <v>0</v>
      </c>
      <c r="L124" s="8"/>
      <c r="M124" s="1"/>
      <c r="N124" s="1"/>
      <c r="O124" s="1"/>
      <c r="P124" s="1"/>
      <c r="Q124" s="1"/>
    </row>
    <row r="125" spans="1:17">
      <c r="A125" s="5">
        <v>729</v>
      </c>
      <c r="B125" s="24" t="s">
        <v>290</v>
      </c>
      <c r="C125" s="549">
        <v>1692</v>
      </c>
      <c r="D125" s="577"/>
      <c r="E125" s="546">
        <v>76</v>
      </c>
      <c r="F125" s="546">
        <v>517.29999999999995</v>
      </c>
      <c r="G125" s="551">
        <f t="shared" si="4"/>
        <v>646.625</v>
      </c>
      <c r="H125" s="550">
        <v>2156</v>
      </c>
      <c r="I125" s="162">
        <v>0</v>
      </c>
      <c r="J125" s="549">
        <v>0</v>
      </c>
      <c r="K125" s="549">
        <v>0</v>
      </c>
      <c r="L125" s="8"/>
      <c r="M125" s="1"/>
      <c r="N125" s="1"/>
      <c r="O125" s="1"/>
      <c r="P125" s="1"/>
      <c r="Q125" s="1"/>
    </row>
    <row r="126" spans="1:17">
      <c r="A126" s="5">
        <v>730</v>
      </c>
      <c r="B126" s="24" t="s">
        <v>291</v>
      </c>
      <c r="C126" s="549">
        <v>1700</v>
      </c>
      <c r="D126" s="577"/>
      <c r="E126" s="546">
        <v>75</v>
      </c>
      <c r="F126" s="546">
        <v>517.29999999999995</v>
      </c>
      <c r="G126" s="551">
        <f t="shared" si="4"/>
        <v>646.625</v>
      </c>
      <c r="H126" s="550">
        <v>2163</v>
      </c>
      <c r="I126" s="162">
        <v>0</v>
      </c>
      <c r="J126" s="549">
        <v>0</v>
      </c>
      <c r="K126" s="549">
        <v>0</v>
      </c>
      <c r="L126" s="8"/>
      <c r="M126" s="1"/>
      <c r="N126" s="1"/>
      <c r="O126" s="1"/>
      <c r="P126" s="1"/>
      <c r="Q126" s="1"/>
    </row>
    <row r="127" spans="1:17">
      <c r="A127" s="5">
        <v>731</v>
      </c>
      <c r="B127" s="24" t="s">
        <v>292</v>
      </c>
      <c r="C127" s="549">
        <v>1592</v>
      </c>
      <c r="D127" s="577"/>
      <c r="E127" s="546">
        <v>89</v>
      </c>
      <c r="F127" s="546">
        <v>465.3</v>
      </c>
      <c r="G127" s="551">
        <f t="shared" si="4"/>
        <v>581.625</v>
      </c>
      <c r="H127" s="550">
        <v>2030</v>
      </c>
      <c r="I127" s="162">
        <v>0</v>
      </c>
      <c r="J127" s="549">
        <v>0</v>
      </c>
      <c r="K127" s="549">
        <v>0</v>
      </c>
      <c r="L127" s="8"/>
      <c r="M127" s="1"/>
      <c r="N127" s="1"/>
      <c r="O127" s="1"/>
      <c r="P127" s="1"/>
      <c r="Q127" s="1"/>
    </row>
    <row r="128" spans="1:17">
      <c r="A128" s="5">
        <v>732</v>
      </c>
      <c r="B128" s="24" t="s">
        <v>293</v>
      </c>
      <c r="C128" s="549">
        <v>971</v>
      </c>
      <c r="D128" s="577"/>
      <c r="E128" s="546">
        <v>414.7</v>
      </c>
      <c r="F128" s="546">
        <v>0</v>
      </c>
      <c r="G128" s="547">
        <f t="shared" ref="G128:G131" si="5">F128</f>
        <v>0</v>
      </c>
      <c r="H128" s="550">
        <v>1298</v>
      </c>
      <c r="I128" s="162">
        <v>150</v>
      </c>
      <c r="J128" s="549">
        <v>0</v>
      </c>
      <c r="K128" s="549">
        <v>0</v>
      </c>
      <c r="L128" s="8"/>
      <c r="M128" s="1"/>
      <c r="N128" s="1"/>
      <c r="O128" s="1"/>
      <c r="P128" s="1"/>
      <c r="Q128" s="1"/>
    </row>
    <row r="129" spans="1:17">
      <c r="A129" s="5">
        <v>733</v>
      </c>
      <c r="B129" s="24" t="s">
        <v>294</v>
      </c>
      <c r="C129" s="549">
        <v>1150</v>
      </c>
      <c r="D129" s="577"/>
      <c r="E129" s="546">
        <v>147</v>
      </c>
      <c r="F129" s="546">
        <v>0</v>
      </c>
      <c r="G129" s="547">
        <f t="shared" si="5"/>
        <v>0</v>
      </c>
      <c r="H129" s="550">
        <v>1297</v>
      </c>
      <c r="I129" s="162">
        <v>0</v>
      </c>
      <c r="J129" s="549">
        <v>0</v>
      </c>
      <c r="K129" s="549">
        <v>0</v>
      </c>
      <c r="L129" s="8"/>
      <c r="M129" s="1"/>
      <c r="N129" s="1"/>
      <c r="O129" s="1"/>
      <c r="P129" s="1"/>
      <c r="Q129" s="1"/>
    </row>
    <row r="130" spans="1:17">
      <c r="A130" s="5">
        <v>734</v>
      </c>
      <c r="B130" s="24" t="s">
        <v>295</v>
      </c>
      <c r="C130" s="549">
        <v>1500</v>
      </c>
      <c r="D130" s="577"/>
      <c r="E130" s="546">
        <v>101</v>
      </c>
      <c r="F130" s="546">
        <v>0</v>
      </c>
      <c r="G130" s="547">
        <f t="shared" si="5"/>
        <v>0</v>
      </c>
      <c r="H130" s="550">
        <v>1601</v>
      </c>
      <c r="I130" s="162">
        <v>150</v>
      </c>
      <c r="J130" s="549">
        <v>0</v>
      </c>
      <c r="K130" s="549">
        <v>0</v>
      </c>
      <c r="L130" s="8"/>
      <c r="M130" s="1"/>
      <c r="N130" s="1"/>
      <c r="O130" s="1"/>
      <c r="P130" s="1"/>
      <c r="Q130" s="1"/>
    </row>
    <row r="131" spans="1:17">
      <c r="A131" s="5">
        <v>735</v>
      </c>
      <c r="B131" s="24" t="s">
        <v>296</v>
      </c>
      <c r="C131" s="549">
        <v>971</v>
      </c>
      <c r="D131" s="577"/>
      <c r="E131" s="546">
        <v>414.7</v>
      </c>
      <c r="F131" s="546">
        <v>0</v>
      </c>
      <c r="G131" s="547">
        <f t="shared" si="5"/>
        <v>0</v>
      </c>
      <c r="H131" s="550">
        <v>1298</v>
      </c>
      <c r="I131" s="162">
        <v>150</v>
      </c>
      <c r="J131" s="549">
        <v>0</v>
      </c>
      <c r="K131" s="549">
        <v>0</v>
      </c>
      <c r="L131" s="8"/>
      <c r="M131" s="1"/>
      <c r="N131" s="1"/>
      <c r="O131" s="1"/>
      <c r="P131" s="1"/>
      <c r="Q131" s="1"/>
    </row>
    <row r="132" spans="1:17">
      <c r="A132" s="5">
        <v>736</v>
      </c>
      <c r="B132" s="24" t="s">
        <v>297</v>
      </c>
      <c r="C132" s="549">
        <v>1600</v>
      </c>
      <c r="D132" s="577"/>
      <c r="E132" s="546">
        <v>88</v>
      </c>
      <c r="F132" s="546">
        <v>517.29999999999995</v>
      </c>
      <c r="G132" s="551">
        <f t="shared" si="4"/>
        <v>646.625</v>
      </c>
      <c r="H132" s="550">
        <v>2076</v>
      </c>
      <c r="I132" s="162">
        <v>0</v>
      </c>
      <c r="J132" s="549">
        <v>0</v>
      </c>
      <c r="K132" s="549">
        <v>0</v>
      </c>
      <c r="L132" s="8"/>
      <c r="M132" s="1"/>
      <c r="N132" s="1"/>
      <c r="O132" s="1"/>
      <c r="P132" s="1"/>
      <c r="Q132" s="1"/>
    </row>
    <row r="133" spans="1:17">
      <c r="A133" s="5">
        <v>737</v>
      </c>
      <c r="B133" s="24" t="s">
        <v>298</v>
      </c>
      <c r="C133" s="549">
        <v>971</v>
      </c>
      <c r="D133" s="577"/>
      <c r="E133" s="546">
        <v>414.7</v>
      </c>
      <c r="F133" s="546">
        <v>0</v>
      </c>
      <c r="G133" s="547">
        <f t="shared" ref="G133:G136" si="6">F133</f>
        <v>0</v>
      </c>
      <c r="H133" s="550">
        <v>1298</v>
      </c>
      <c r="I133" s="162">
        <v>150</v>
      </c>
      <c r="J133" s="549">
        <v>0</v>
      </c>
      <c r="K133" s="549">
        <v>0</v>
      </c>
      <c r="L133" s="8"/>
      <c r="M133" s="1"/>
      <c r="N133" s="1"/>
      <c r="O133" s="1"/>
      <c r="P133" s="1"/>
      <c r="Q133" s="1"/>
    </row>
    <row r="134" spans="1:17">
      <c r="A134" s="5">
        <v>738</v>
      </c>
      <c r="B134" s="24" t="s">
        <v>299</v>
      </c>
      <c r="C134" s="549">
        <v>971</v>
      </c>
      <c r="D134" s="577"/>
      <c r="E134" s="546">
        <v>414.7</v>
      </c>
      <c r="F134" s="546">
        <v>0</v>
      </c>
      <c r="G134" s="547">
        <f t="shared" si="6"/>
        <v>0</v>
      </c>
      <c r="H134" s="550">
        <v>1298</v>
      </c>
      <c r="I134" s="162">
        <v>17</v>
      </c>
      <c r="J134" s="549">
        <v>0</v>
      </c>
      <c r="K134" s="549">
        <v>0</v>
      </c>
      <c r="L134" s="8"/>
      <c r="M134" s="1"/>
      <c r="N134" s="1"/>
      <c r="O134" s="1"/>
      <c r="P134" s="1"/>
      <c r="Q134" s="1"/>
    </row>
    <row r="135" spans="1:17">
      <c r="A135" s="5">
        <v>739</v>
      </c>
      <c r="B135" s="24" t="s">
        <v>300</v>
      </c>
      <c r="C135" s="549">
        <v>971</v>
      </c>
      <c r="D135" s="577"/>
      <c r="E135" s="546">
        <v>414.7</v>
      </c>
      <c r="F135" s="546">
        <v>0</v>
      </c>
      <c r="G135" s="547">
        <f t="shared" si="6"/>
        <v>0</v>
      </c>
      <c r="H135" s="550">
        <v>1298</v>
      </c>
      <c r="I135" s="162">
        <v>150</v>
      </c>
      <c r="J135" s="549">
        <v>0</v>
      </c>
      <c r="K135" s="549">
        <v>0</v>
      </c>
      <c r="L135" s="8"/>
      <c r="M135" s="1"/>
      <c r="N135" s="1"/>
      <c r="O135" s="1"/>
      <c r="P135" s="1"/>
      <c r="Q135" s="1"/>
    </row>
    <row r="136" spans="1:17">
      <c r="A136" s="5">
        <v>740</v>
      </c>
      <c r="B136" s="24" t="s">
        <v>301</v>
      </c>
      <c r="C136" s="549">
        <v>971</v>
      </c>
      <c r="D136" s="577"/>
      <c r="E136" s="546">
        <v>414.7</v>
      </c>
      <c r="F136" s="546">
        <v>0</v>
      </c>
      <c r="G136" s="547">
        <f t="shared" si="6"/>
        <v>0</v>
      </c>
      <c r="H136" s="550">
        <v>1298</v>
      </c>
      <c r="I136" s="162">
        <v>150</v>
      </c>
      <c r="J136" s="549">
        <v>0</v>
      </c>
      <c r="K136" s="549">
        <v>0</v>
      </c>
      <c r="L136" s="8"/>
      <c r="M136" s="1"/>
      <c r="N136" s="1"/>
      <c r="O136" s="1"/>
      <c r="P136" s="1"/>
      <c r="Q136" s="1"/>
    </row>
    <row r="137" spans="1:17">
      <c r="A137" s="5">
        <v>741</v>
      </c>
      <c r="B137" s="24" t="s">
        <v>302</v>
      </c>
      <c r="C137" s="549">
        <v>1300</v>
      </c>
      <c r="D137" s="577"/>
      <c r="E137" s="546">
        <v>127</v>
      </c>
      <c r="F137" s="546">
        <v>310.7</v>
      </c>
      <c r="G137" s="551">
        <f t="shared" si="4"/>
        <v>388.375</v>
      </c>
      <c r="H137" s="550">
        <v>1660</v>
      </c>
      <c r="I137" s="162">
        <v>0</v>
      </c>
      <c r="J137" s="549">
        <v>0</v>
      </c>
      <c r="K137" s="549">
        <v>0</v>
      </c>
      <c r="L137" s="8"/>
      <c r="M137" s="1"/>
      <c r="N137" s="1"/>
      <c r="O137" s="1"/>
      <c r="P137" s="1"/>
      <c r="Q137" s="1"/>
    </row>
    <row r="138" spans="1:17">
      <c r="A138" s="5">
        <v>742</v>
      </c>
      <c r="B138" s="24" t="s">
        <v>303</v>
      </c>
      <c r="C138" s="549">
        <v>971</v>
      </c>
      <c r="D138" s="577"/>
      <c r="E138" s="546">
        <v>414.7</v>
      </c>
      <c r="F138" s="546">
        <v>0</v>
      </c>
      <c r="G138" s="547">
        <f t="shared" ref="G138:G139" si="7">F138</f>
        <v>0</v>
      </c>
      <c r="H138" s="550">
        <v>1298</v>
      </c>
      <c r="I138" s="162">
        <v>150</v>
      </c>
      <c r="J138" s="549">
        <v>0</v>
      </c>
      <c r="K138" s="549">
        <v>0</v>
      </c>
      <c r="L138" s="8"/>
      <c r="M138" s="1"/>
      <c r="N138" s="1"/>
      <c r="O138" s="1"/>
      <c r="P138" s="1"/>
      <c r="Q138" s="1"/>
    </row>
    <row r="139" spans="1:17">
      <c r="A139" s="32">
        <v>743</v>
      </c>
      <c r="B139" s="33" t="s">
        <v>304</v>
      </c>
      <c r="C139" s="555">
        <v>971</v>
      </c>
      <c r="D139" s="579"/>
      <c r="E139" s="546">
        <v>414.7</v>
      </c>
      <c r="F139" s="546">
        <v>0</v>
      </c>
      <c r="G139" s="547">
        <f t="shared" si="7"/>
        <v>0</v>
      </c>
      <c r="H139" s="550">
        <v>1298</v>
      </c>
      <c r="I139" s="554">
        <v>17</v>
      </c>
      <c r="J139" s="555">
        <v>0</v>
      </c>
      <c r="K139" s="555">
        <v>0</v>
      </c>
      <c r="L139" s="8"/>
      <c r="M139" s="1"/>
      <c r="N139" s="1"/>
      <c r="O139" s="1"/>
      <c r="P139" s="1"/>
      <c r="Q139" s="1"/>
    </row>
    <row r="140" spans="1:17">
      <c r="A140" s="5">
        <v>744</v>
      </c>
      <c r="B140" s="24" t="s">
        <v>305</v>
      </c>
      <c r="C140" s="549">
        <v>1400</v>
      </c>
      <c r="D140" s="577"/>
      <c r="E140" s="546">
        <v>114</v>
      </c>
      <c r="F140" s="546">
        <v>310.7</v>
      </c>
      <c r="G140" s="551">
        <f t="shared" si="4"/>
        <v>388.375</v>
      </c>
      <c r="H140" s="550">
        <v>1747</v>
      </c>
      <c r="I140" s="162">
        <v>0</v>
      </c>
      <c r="J140" s="549">
        <v>0</v>
      </c>
      <c r="K140" s="549">
        <v>0</v>
      </c>
      <c r="L140" s="8"/>
      <c r="M140" s="1"/>
      <c r="N140" s="1"/>
      <c r="O140" s="1"/>
      <c r="P140" s="1"/>
      <c r="Q140" s="1"/>
    </row>
    <row r="141" spans="1:17">
      <c r="A141" s="5">
        <v>745</v>
      </c>
      <c r="B141" s="24" t="s">
        <v>306</v>
      </c>
      <c r="C141" s="549">
        <v>1450</v>
      </c>
      <c r="D141" s="577"/>
      <c r="E141" s="546">
        <v>107</v>
      </c>
      <c r="F141" s="546">
        <v>0</v>
      </c>
      <c r="G141" s="547">
        <f t="shared" ref="G141:G143" si="8">F141</f>
        <v>0</v>
      </c>
      <c r="H141" s="550">
        <v>1557</v>
      </c>
      <c r="I141" s="162">
        <v>0</v>
      </c>
      <c r="J141" s="549">
        <v>0</v>
      </c>
      <c r="K141" s="549">
        <v>0</v>
      </c>
      <c r="L141" s="8"/>
      <c r="M141" s="1"/>
      <c r="N141" s="1"/>
      <c r="O141" s="1"/>
      <c r="P141" s="1"/>
      <c r="Q141" s="1"/>
    </row>
    <row r="142" spans="1:17">
      <c r="A142" s="5">
        <v>746</v>
      </c>
      <c r="B142" s="24" t="s">
        <v>307</v>
      </c>
      <c r="C142" s="549">
        <v>971</v>
      </c>
      <c r="D142" s="577"/>
      <c r="E142" s="546">
        <v>414.7</v>
      </c>
      <c r="F142" s="546">
        <v>0</v>
      </c>
      <c r="G142" s="547">
        <f t="shared" si="8"/>
        <v>0</v>
      </c>
      <c r="H142" s="550">
        <v>1298</v>
      </c>
      <c r="I142" s="162">
        <v>150</v>
      </c>
      <c r="J142" s="549">
        <v>0</v>
      </c>
      <c r="K142" s="549">
        <v>0</v>
      </c>
      <c r="L142" s="8"/>
      <c r="M142" s="1"/>
      <c r="N142" s="1"/>
      <c r="O142" s="1"/>
      <c r="P142" s="1"/>
      <c r="Q142" s="1"/>
    </row>
    <row r="143" spans="1:17">
      <c r="A143" s="5">
        <v>747</v>
      </c>
      <c r="B143" s="24" t="s">
        <v>308</v>
      </c>
      <c r="C143" s="549">
        <v>971</v>
      </c>
      <c r="D143" s="577"/>
      <c r="E143" s="546">
        <v>414.7</v>
      </c>
      <c r="F143" s="546">
        <v>0</v>
      </c>
      <c r="G143" s="547">
        <f t="shared" si="8"/>
        <v>0</v>
      </c>
      <c r="H143" s="550">
        <v>1298</v>
      </c>
      <c r="I143" s="162">
        <v>0</v>
      </c>
      <c r="J143" s="549">
        <v>0</v>
      </c>
      <c r="K143" s="549">
        <v>0</v>
      </c>
      <c r="L143" s="8"/>
      <c r="M143" s="1"/>
      <c r="N143" s="1"/>
      <c r="O143" s="1"/>
      <c r="P143" s="1"/>
      <c r="Q143" s="1"/>
    </row>
    <row r="144" spans="1:17">
      <c r="A144" s="5">
        <v>748</v>
      </c>
      <c r="B144" s="24" t="s">
        <v>309</v>
      </c>
      <c r="C144" s="549">
        <v>1250</v>
      </c>
      <c r="D144" s="577"/>
      <c r="E144" s="546">
        <v>134</v>
      </c>
      <c r="F144" s="546">
        <v>310.7</v>
      </c>
      <c r="G144" s="551">
        <f t="shared" si="4"/>
        <v>388.375</v>
      </c>
      <c r="H144" s="550">
        <v>1617</v>
      </c>
      <c r="I144" s="162">
        <v>0</v>
      </c>
      <c r="J144" s="549">
        <v>0</v>
      </c>
      <c r="K144" s="549">
        <v>0</v>
      </c>
      <c r="L144" s="8"/>
      <c r="M144" s="1"/>
      <c r="N144" s="1"/>
      <c r="O144" s="1"/>
      <c r="P144" s="1"/>
      <c r="Q144" s="1"/>
    </row>
    <row r="145" spans="1:17">
      <c r="A145" s="26">
        <v>749</v>
      </c>
      <c r="B145" s="27" t="s">
        <v>201</v>
      </c>
      <c r="C145" s="553">
        <v>971</v>
      </c>
      <c r="D145" s="577">
        <v>510</v>
      </c>
      <c r="E145" s="546">
        <v>414.7</v>
      </c>
      <c r="F145" s="546">
        <v>0</v>
      </c>
      <c r="G145" s="547">
        <f t="shared" ref="G145:G146" si="9">F145</f>
        <v>0</v>
      </c>
      <c r="H145" s="550">
        <v>1298</v>
      </c>
      <c r="I145" s="552">
        <v>0</v>
      </c>
      <c r="J145" s="553">
        <v>0</v>
      </c>
      <c r="K145" s="553">
        <v>0</v>
      </c>
      <c r="L145" s="29"/>
      <c r="M145" s="30"/>
      <c r="N145" s="30"/>
      <c r="O145" s="30"/>
      <c r="P145" s="30"/>
      <c r="Q145" s="30"/>
    </row>
    <row r="146" spans="1:17">
      <c r="A146" s="5">
        <v>750</v>
      </c>
      <c r="B146" s="24" t="s">
        <v>200</v>
      </c>
      <c r="C146" s="549">
        <v>971</v>
      </c>
      <c r="D146" s="577"/>
      <c r="E146" s="546">
        <v>414.7</v>
      </c>
      <c r="F146" s="546">
        <v>0</v>
      </c>
      <c r="G146" s="547">
        <f t="shared" si="9"/>
        <v>0</v>
      </c>
      <c r="H146" s="550">
        <v>1298</v>
      </c>
      <c r="I146" s="162">
        <v>0</v>
      </c>
      <c r="J146" s="549">
        <v>0</v>
      </c>
      <c r="K146" s="549">
        <v>0</v>
      </c>
      <c r="L146" s="8"/>
      <c r="M146" s="1"/>
      <c r="N146" s="1"/>
      <c r="O146" s="1"/>
      <c r="P146" s="1"/>
      <c r="Q146" s="1"/>
    </row>
    <row r="147" spans="1:17">
      <c r="A147" s="5">
        <v>751</v>
      </c>
      <c r="B147" s="34" t="s">
        <v>310</v>
      </c>
      <c r="C147" s="549">
        <v>1500</v>
      </c>
      <c r="D147" s="577"/>
      <c r="E147" s="546">
        <v>101</v>
      </c>
      <c r="F147" s="546">
        <v>310.7</v>
      </c>
      <c r="G147" s="551">
        <f t="shared" si="4"/>
        <v>388.375</v>
      </c>
      <c r="H147" s="550">
        <v>1834</v>
      </c>
      <c r="I147" s="162">
        <v>150</v>
      </c>
      <c r="J147" s="549">
        <v>0</v>
      </c>
      <c r="K147" s="549">
        <v>0</v>
      </c>
      <c r="L147" s="8"/>
      <c r="M147" s="1"/>
      <c r="N147" s="1"/>
      <c r="O147" s="1"/>
      <c r="P147" s="1"/>
      <c r="Q147" s="1"/>
    </row>
    <row r="148" spans="1:17">
      <c r="A148" s="5">
        <v>752</v>
      </c>
      <c r="B148" s="24" t="s">
        <v>311</v>
      </c>
      <c r="C148" s="549">
        <v>2913</v>
      </c>
      <c r="D148" s="577"/>
      <c r="E148" s="546">
        <v>0</v>
      </c>
      <c r="F148" s="546">
        <v>0</v>
      </c>
      <c r="G148" s="547">
        <f>F148</f>
        <v>0</v>
      </c>
      <c r="H148" s="550">
        <v>2913</v>
      </c>
      <c r="I148" s="162">
        <v>20</v>
      </c>
      <c r="J148" s="549">
        <v>0</v>
      </c>
      <c r="K148" s="549">
        <v>0</v>
      </c>
      <c r="L148" s="8"/>
      <c r="M148" s="1"/>
      <c r="N148" s="1"/>
      <c r="O148" s="1"/>
      <c r="P148" s="1"/>
      <c r="Q148" s="1"/>
    </row>
    <row r="149" spans="1:17">
      <c r="A149" s="5">
        <v>753</v>
      </c>
      <c r="B149" s="24" t="s">
        <v>312</v>
      </c>
      <c r="C149" s="549">
        <v>1942</v>
      </c>
      <c r="D149" s="577"/>
      <c r="E149" s="546">
        <v>43</v>
      </c>
      <c r="F149" s="546">
        <v>621.29999999999995</v>
      </c>
      <c r="G149" s="551">
        <f t="shared" si="4"/>
        <v>776.625</v>
      </c>
      <c r="H149" s="550">
        <v>2451</v>
      </c>
      <c r="I149" s="162">
        <v>150</v>
      </c>
      <c r="J149" s="549">
        <v>0</v>
      </c>
      <c r="K149" s="549">
        <v>0</v>
      </c>
      <c r="L149" s="8"/>
      <c r="M149" s="1"/>
      <c r="N149" s="1"/>
      <c r="O149" s="1"/>
      <c r="P149" s="1"/>
      <c r="Q149" s="1"/>
    </row>
    <row r="150" spans="1:17">
      <c r="A150" s="5">
        <v>754</v>
      </c>
      <c r="B150" s="24" t="s">
        <v>313</v>
      </c>
      <c r="C150" s="549">
        <v>971</v>
      </c>
      <c r="D150" s="577"/>
      <c r="E150" s="546">
        <v>414.7</v>
      </c>
      <c r="F150" s="546">
        <v>0</v>
      </c>
      <c r="G150" s="547">
        <f t="shared" ref="G150:G151" si="10">F150</f>
        <v>0</v>
      </c>
      <c r="H150" s="550">
        <v>1298</v>
      </c>
      <c r="I150" s="162">
        <v>0</v>
      </c>
      <c r="J150" s="549">
        <v>0</v>
      </c>
      <c r="K150" s="549">
        <v>0</v>
      </c>
      <c r="L150" s="8"/>
      <c r="M150" s="1"/>
      <c r="N150" s="1"/>
      <c r="O150" s="1"/>
      <c r="P150" s="1"/>
      <c r="Q150" s="1"/>
    </row>
    <row r="151" spans="1:17">
      <c r="A151" s="5">
        <v>755</v>
      </c>
      <c r="B151" s="24" t="s">
        <v>314</v>
      </c>
      <c r="C151" s="549">
        <v>971</v>
      </c>
      <c r="D151" s="577"/>
      <c r="E151" s="546">
        <v>414.7</v>
      </c>
      <c r="F151" s="546">
        <v>0</v>
      </c>
      <c r="G151" s="547">
        <f t="shared" si="10"/>
        <v>0</v>
      </c>
      <c r="H151" s="550">
        <v>1298</v>
      </c>
      <c r="I151" s="162">
        <v>0</v>
      </c>
      <c r="J151" s="549">
        <v>0</v>
      </c>
      <c r="K151" s="549">
        <v>0</v>
      </c>
      <c r="L151" s="8"/>
      <c r="M151" s="1"/>
      <c r="N151" s="1"/>
      <c r="O151" s="1"/>
      <c r="P151" s="1"/>
      <c r="Q151" s="1"/>
    </row>
    <row r="152" spans="1:17">
      <c r="A152" s="5">
        <v>756</v>
      </c>
      <c r="B152" s="24" t="s">
        <v>315</v>
      </c>
      <c r="C152" s="549">
        <v>1290</v>
      </c>
      <c r="D152" s="577"/>
      <c r="E152" s="546">
        <v>128</v>
      </c>
      <c r="F152" s="546">
        <v>309.3</v>
      </c>
      <c r="G152" s="551">
        <f t="shared" si="4"/>
        <v>386.625</v>
      </c>
      <c r="H152" s="550">
        <v>1650</v>
      </c>
      <c r="I152" s="162">
        <v>0</v>
      </c>
      <c r="J152" s="549">
        <v>0</v>
      </c>
      <c r="K152" s="549">
        <v>0</v>
      </c>
      <c r="L152" s="8"/>
      <c r="M152" s="1"/>
      <c r="N152" s="1"/>
      <c r="O152" s="1"/>
      <c r="P152" s="1"/>
      <c r="Q152" s="1"/>
    </row>
    <row r="153" spans="1:17">
      <c r="A153" s="5">
        <v>757</v>
      </c>
      <c r="B153" s="24" t="s">
        <v>316</v>
      </c>
      <c r="C153" s="549">
        <v>971</v>
      </c>
      <c r="D153" s="577"/>
      <c r="E153" s="546">
        <v>414.7</v>
      </c>
      <c r="F153" s="546">
        <v>0</v>
      </c>
      <c r="G153" s="547">
        <f t="shared" ref="G153:G156" si="11">F153</f>
        <v>0</v>
      </c>
      <c r="H153" s="550">
        <v>1298</v>
      </c>
      <c r="I153" s="162">
        <v>0</v>
      </c>
      <c r="J153" s="549">
        <v>0</v>
      </c>
      <c r="K153" s="549">
        <v>0</v>
      </c>
      <c r="L153" s="8"/>
      <c r="M153" s="1"/>
      <c r="N153" s="1"/>
      <c r="O153" s="1"/>
      <c r="P153" s="1"/>
      <c r="Q153" s="1"/>
    </row>
    <row r="154" spans="1:17">
      <c r="A154" s="5">
        <v>758</v>
      </c>
      <c r="B154" s="24" t="s">
        <v>317</v>
      </c>
      <c r="C154" s="549">
        <v>971</v>
      </c>
      <c r="D154" s="577"/>
      <c r="E154" s="546">
        <v>414.7</v>
      </c>
      <c r="F154" s="546">
        <v>0</v>
      </c>
      <c r="G154" s="547">
        <f t="shared" si="11"/>
        <v>0</v>
      </c>
      <c r="H154" s="550">
        <v>1298</v>
      </c>
      <c r="I154" s="162">
        <v>0</v>
      </c>
      <c r="J154" s="549">
        <v>0</v>
      </c>
      <c r="K154" s="549">
        <v>0</v>
      </c>
      <c r="L154" s="8"/>
      <c r="M154" s="1"/>
      <c r="N154" s="1"/>
      <c r="O154" s="1"/>
      <c r="P154" s="1"/>
      <c r="Q154" s="1"/>
    </row>
    <row r="155" spans="1:17">
      <c r="A155" s="5">
        <v>759</v>
      </c>
      <c r="B155" s="24" t="s">
        <v>318</v>
      </c>
      <c r="C155" s="549">
        <v>971</v>
      </c>
      <c r="D155" s="577"/>
      <c r="E155" s="546">
        <v>414.7</v>
      </c>
      <c r="F155" s="546">
        <v>0</v>
      </c>
      <c r="G155" s="547">
        <f t="shared" si="11"/>
        <v>0</v>
      </c>
      <c r="H155" s="550">
        <v>1298</v>
      </c>
      <c r="I155" s="162">
        <v>150</v>
      </c>
      <c r="J155" s="549">
        <v>0</v>
      </c>
      <c r="K155" s="549">
        <v>0</v>
      </c>
      <c r="L155" s="8"/>
      <c r="M155" s="1"/>
      <c r="N155" s="1"/>
      <c r="O155" s="1"/>
      <c r="P155" s="1"/>
      <c r="Q155" s="1"/>
    </row>
    <row r="156" spans="1:17">
      <c r="A156" s="5">
        <v>760</v>
      </c>
      <c r="B156" s="24" t="s">
        <v>319</v>
      </c>
      <c r="C156" s="549">
        <v>1400</v>
      </c>
      <c r="D156" s="577"/>
      <c r="E156" s="546">
        <v>114</v>
      </c>
      <c r="F156" s="546">
        <v>0</v>
      </c>
      <c r="G156" s="547">
        <f t="shared" si="11"/>
        <v>0</v>
      </c>
      <c r="H156" s="550">
        <v>1514</v>
      </c>
      <c r="I156" s="162">
        <v>0</v>
      </c>
      <c r="J156" s="549">
        <v>0</v>
      </c>
      <c r="K156" s="549">
        <v>0</v>
      </c>
      <c r="L156" s="8"/>
      <c r="M156" s="1"/>
      <c r="N156" s="1"/>
      <c r="O156" s="1"/>
      <c r="P156" s="1"/>
      <c r="Q156" s="1"/>
    </row>
    <row r="157" spans="1:17">
      <c r="A157" s="5">
        <v>761</v>
      </c>
      <c r="B157" s="24" t="s">
        <v>320</v>
      </c>
      <c r="C157" s="549">
        <v>1700</v>
      </c>
      <c r="D157" s="577"/>
      <c r="E157" s="546">
        <v>75</v>
      </c>
      <c r="F157" s="546">
        <v>362.7</v>
      </c>
      <c r="G157" s="551">
        <f t="shared" si="4"/>
        <v>453.375</v>
      </c>
      <c r="H157" s="550">
        <v>2047</v>
      </c>
      <c r="I157" s="162">
        <v>150</v>
      </c>
      <c r="J157" s="549">
        <v>0</v>
      </c>
      <c r="K157" s="549">
        <v>0</v>
      </c>
      <c r="L157" s="8"/>
      <c r="M157" s="1"/>
      <c r="N157" s="1"/>
      <c r="O157" s="1"/>
      <c r="P157" s="1"/>
      <c r="Q157" s="1"/>
    </row>
    <row r="158" spans="1:17">
      <c r="A158" s="5">
        <v>762</v>
      </c>
      <c r="B158" s="24" t="s">
        <v>321</v>
      </c>
      <c r="C158" s="549">
        <v>971</v>
      </c>
      <c r="D158" s="577"/>
      <c r="E158" s="546">
        <v>414.7</v>
      </c>
      <c r="F158" s="546">
        <v>0</v>
      </c>
      <c r="G158" s="547">
        <f t="shared" ref="G158:G161" si="12">F158</f>
        <v>0</v>
      </c>
      <c r="H158" s="550">
        <v>1298</v>
      </c>
      <c r="I158" s="162">
        <v>0</v>
      </c>
      <c r="J158" s="549">
        <v>0</v>
      </c>
      <c r="K158" s="549">
        <v>0</v>
      </c>
      <c r="L158" s="8"/>
      <c r="M158" s="1"/>
      <c r="N158" s="1"/>
      <c r="O158" s="1"/>
      <c r="P158" s="1"/>
      <c r="Q158" s="1"/>
    </row>
    <row r="159" spans="1:17">
      <c r="A159" s="5">
        <v>763</v>
      </c>
      <c r="B159" s="24" t="s">
        <v>322</v>
      </c>
      <c r="C159" s="549">
        <v>971</v>
      </c>
      <c r="D159" s="577"/>
      <c r="E159" s="546">
        <v>414.7</v>
      </c>
      <c r="F159" s="546">
        <v>0</v>
      </c>
      <c r="G159" s="547">
        <f t="shared" si="12"/>
        <v>0</v>
      </c>
      <c r="H159" s="550">
        <v>1298</v>
      </c>
      <c r="I159" s="162">
        <v>0</v>
      </c>
      <c r="J159" s="549">
        <v>0</v>
      </c>
      <c r="K159" s="549">
        <v>0</v>
      </c>
      <c r="L159" s="8"/>
      <c r="M159" s="1"/>
      <c r="N159" s="1"/>
      <c r="O159" s="1"/>
      <c r="P159" s="1"/>
      <c r="Q159" s="1"/>
    </row>
    <row r="160" spans="1:17">
      <c r="A160" s="5">
        <v>764</v>
      </c>
      <c r="B160" s="24" t="s">
        <v>323</v>
      </c>
      <c r="C160" s="549">
        <v>1500</v>
      </c>
      <c r="D160" s="577"/>
      <c r="E160" s="546">
        <v>101</v>
      </c>
      <c r="F160" s="546">
        <v>0</v>
      </c>
      <c r="G160" s="547">
        <f t="shared" si="12"/>
        <v>0</v>
      </c>
      <c r="H160" s="550">
        <v>1601</v>
      </c>
      <c r="I160" s="162">
        <v>150</v>
      </c>
      <c r="J160" s="549">
        <v>0</v>
      </c>
      <c r="K160" s="549">
        <v>0</v>
      </c>
      <c r="L160" s="8"/>
      <c r="M160" s="1"/>
      <c r="N160" s="1"/>
      <c r="O160" s="1"/>
      <c r="P160" s="1"/>
      <c r="Q160" s="1"/>
    </row>
    <row r="161" spans="1:17">
      <c r="A161" s="5">
        <v>765</v>
      </c>
      <c r="B161" s="24" t="s">
        <v>324</v>
      </c>
      <c r="C161" s="549">
        <v>1500</v>
      </c>
      <c r="D161" s="577"/>
      <c r="E161" s="546">
        <v>101</v>
      </c>
      <c r="F161" s="546">
        <v>0</v>
      </c>
      <c r="G161" s="547">
        <f t="shared" si="12"/>
        <v>0</v>
      </c>
      <c r="H161" s="550">
        <v>1601</v>
      </c>
      <c r="I161" s="162">
        <v>150</v>
      </c>
      <c r="J161" s="549">
        <v>0</v>
      </c>
      <c r="K161" s="549">
        <v>0</v>
      </c>
      <c r="L161" s="8"/>
      <c r="M161" s="1"/>
      <c r="N161" s="1"/>
      <c r="O161" s="1"/>
      <c r="P161" s="1"/>
      <c r="Q161" s="1"/>
    </row>
    <row r="162" spans="1:17">
      <c r="A162" s="5">
        <v>766</v>
      </c>
      <c r="B162" s="24" t="s">
        <v>325</v>
      </c>
      <c r="C162" s="549">
        <v>1942</v>
      </c>
      <c r="D162" s="577"/>
      <c r="E162" s="546">
        <v>43</v>
      </c>
      <c r="F162" s="546">
        <v>621.29999999999995</v>
      </c>
      <c r="G162" s="551">
        <f t="shared" si="4"/>
        <v>776.625</v>
      </c>
      <c r="H162" s="550">
        <v>2451</v>
      </c>
      <c r="I162" s="162">
        <v>150</v>
      </c>
      <c r="J162" s="549">
        <v>0</v>
      </c>
      <c r="K162" s="549">
        <v>0</v>
      </c>
      <c r="L162" s="8"/>
      <c r="M162" s="1"/>
      <c r="N162" s="1"/>
      <c r="O162" s="1"/>
      <c r="P162" s="1"/>
      <c r="Q162" s="1"/>
    </row>
    <row r="163" spans="1:17">
      <c r="A163" s="5">
        <v>767</v>
      </c>
      <c r="B163" s="24" t="s">
        <v>326</v>
      </c>
      <c r="C163" s="549">
        <v>1700</v>
      </c>
      <c r="D163" s="577"/>
      <c r="E163" s="546">
        <v>75</v>
      </c>
      <c r="F163" s="546">
        <v>309.3</v>
      </c>
      <c r="G163" s="551">
        <f t="shared" si="4"/>
        <v>386.625</v>
      </c>
      <c r="H163" s="550">
        <v>2007</v>
      </c>
      <c r="I163" s="162">
        <v>150</v>
      </c>
      <c r="J163" s="549">
        <v>0</v>
      </c>
      <c r="K163" s="549">
        <v>0</v>
      </c>
      <c r="L163" s="8"/>
      <c r="M163" s="1"/>
      <c r="N163" s="1"/>
      <c r="O163" s="1"/>
      <c r="P163" s="1"/>
      <c r="Q163" s="1"/>
    </row>
    <row r="164" spans="1:17">
      <c r="A164" s="5">
        <v>768</v>
      </c>
      <c r="B164" s="24" t="s">
        <v>327</v>
      </c>
      <c r="C164" s="549">
        <v>971</v>
      </c>
      <c r="D164" s="577"/>
      <c r="E164" s="546">
        <v>414.7</v>
      </c>
      <c r="F164" s="546">
        <v>0</v>
      </c>
      <c r="G164" s="547">
        <f t="shared" ref="G164:G165" si="13">F164</f>
        <v>0</v>
      </c>
      <c r="H164" s="550">
        <v>1298</v>
      </c>
      <c r="I164" s="162">
        <v>150</v>
      </c>
      <c r="J164" s="549">
        <v>0</v>
      </c>
      <c r="K164" s="549">
        <v>0</v>
      </c>
      <c r="L164" s="8"/>
      <c r="M164" s="1"/>
      <c r="N164" s="1"/>
      <c r="O164" s="1"/>
      <c r="P164" s="1"/>
      <c r="Q164" s="1"/>
    </row>
    <row r="165" spans="1:17">
      <c r="A165" s="5">
        <v>769</v>
      </c>
      <c r="B165" s="24" t="s">
        <v>328</v>
      </c>
      <c r="C165" s="549">
        <v>2913</v>
      </c>
      <c r="D165" s="577"/>
      <c r="E165" s="546">
        <v>0</v>
      </c>
      <c r="F165" s="546">
        <v>0</v>
      </c>
      <c r="G165" s="547">
        <f t="shared" si="13"/>
        <v>0</v>
      </c>
      <c r="H165" s="550">
        <v>2913</v>
      </c>
      <c r="I165" s="162">
        <v>0</v>
      </c>
      <c r="J165" s="549">
        <v>0</v>
      </c>
      <c r="K165" s="549">
        <v>0</v>
      </c>
      <c r="L165" s="8"/>
      <c r="M165" s="1"/>
      <c r="N165" s="1"/>
      <c r="O165" s="1"/>
      <c r="P165" s="1"/>
      <c r="Q165" s="1"/>
    </row>
    <row r="166" spans="1:17">
      <c r="A166" s="5">
        <v>770</v>
      </c>
      <c r="B166" s="24" t="s">
        <v>329</v>
      </c>
      <c r="C166" s="549">
        <v>2913</v>
      </c>
      <c r="D166" s="577"/>
      <c r="E166" s="546">
        <v>0</v>
      </c>
      <c r="F166" s="546">
        <v>1034.7</v>
      </c>
      <c r="G166" s="551">
        <f t="shared" si="4"/>
        <v>1293.375</v>
      </c>
      <c r="H166" s="550">
        <v>3689</v>
      </c>
      <c r="I166" s="162">
        <v>0</v>
      </c>
      <c r="J166" s="549">
        <v>0</v>
      </c>
      <c r="K166" s="549">
        <v>0</v>
      </c>
      <c r="L166" s="8"/>
      <c r="M166" s="1"/>
      <c r="N166" s="1"/>
      <c r="O166" s="1"/>
      <c r="P166" s="1"/>
      <c r="Q166" s="1"/>
    </row>
    <row r="167" spans="1:17">
      <c r="A167" s="5">
        <v>771</v>
      </c>
      <c r="B167" s="24" t="s">
        <v>330</v>
      </c>
      <c r="C167" s="549">
        <v>971</v>
      </c>
      <c r="D167" s="577"/>
      <c r="E167" s="546">
        <v>414.7</v>
      </c>
      <c r="F167" s="546">
        <v>0</v>
      </c>
      <c r="G167" s="547">
        <f t="shared" ref="G167:G168" si="14">F167</f>
        <v>0</v>
      </c>
      <c r="H167" s="550">
        <v>1298</v>
      </c>
      <c r="I167" s="162">
        <v>0</v>
      </c>
      <c r="J167" s="549">
        <v>0</v>
      </c>
      <c r="K167" s="549">
        <v>620</v>
      </c>
      <c r="L167" s="8"/>
      <c r="M167" s="1"/>
      <c r="N167" s="1"/>
      <c r="O167" s="1"/>
      <c r="P167" s="1"/>
      <c r="Q167" s="1"/>
    </row>
    <row r="168" spans="1:17">
      <c r="A168" s="5">
        <v>772</v>
      </c>
      <c r="B168" s="24" t="s">
        <v>331</v>
      </c>
      <c r="C168" s="549">
        <v>971</v>
      </c>
      <c r="D168" s="577"/>
      <c r="E168" s="546">
        <v>414.7</v>
      </c>
      <c r="F168" s="546">
        <v>0</v>
      </c>
      <c r="G168" s="547">
        <f t="shared" si="14"/>
        <v>0</v>
      </c>
      <c r="H168" s="550">
        <v>1298</v>
      </c>
      <c r="I168" s="162">
        <v>0</v>
      </c>
      <c r="J168" s="549">
        <v>0</v>
      </c>
      <c r="K168" s="549">
        <v>620</v>
      </c>
      <c r="L168" s="8"/>
      <c r="M168" s="1"/>
      <c r="N168" s="1"/>
      <c r="O168" s="1"/>
      <c r="P168" s="1"/>
      <c r="Q168" s="1"/>
    </row>
    <row r="169" spans="1:17">
      <c r="A169" s="5">
        <v>773</v>
      </c>
      <c r="B169" s="24" t="s">
        <v>332</v>
      </c>
      <c r="C169" s="549">
        <v>1942</v>
      </c>
      <c r="D169" s="577"/>
      <c r="E169" s="546">
        <v>43</v>
      </c>
      <c r="F169" s="546">
        <v>621.29999999999995</v>
      </c>
      <c r="G169" s="551">
        <f t="shared" si="4"/>
        <v>776.625</v>
      </c>
      <c r="H169" s="550">
        <v>2451</v>
      </c>
      <c r="I169" s="162">
        <v>0</v>
      </c>
      <c r="J169" s="549">
        <v>0</v>
      </c>
      <c r="K169" s="549">
        <v>669</v>
      </c>
      <c r="L169" s="8"/>
      <c r="M169" s="1"/>
      <c r="N169" s="1"/>
      <c r="O169" s="1"/>
      <c r="P169" s="1"/>
      <c r="Q169" s="1"/>
    </row>
    <row r="170" spans="1:17">
      <c r="A170" s="5">
        <v>774</v>
      </c>
      <c r="B170" s="24" t="s">
        <v>333</v>
      </c>
      <c r="C170" s="549">
        <v>1700</v>
      </c>
      <c r="D170" s="577"/>
      <c r="E170" s="546">
        <v>75</v>
      </c>
      <c r="F170" s="546">
        <v>413.3</v>
      </c>
      <c r="G170" s="551">
        <f t="shared" si="4"/>
        <v>516.625</v>
      </c>
      <c r="H170" s="550">
        <v>2085</v>
      </c>
      <c r="I170" s="162">
        <v>0</v>
      </c>
      <c r="J170" s="549">
        <v>0</v>
      </c>
      <c r="K170" s="549">
        <v>657</v>
      </c>
      <c r="L170" s="8"/>
      <c r="M170" s="1"/>
      <c r="N170" s="1"/>
      <c r="O170" s="1"/>
      <c r="P170" s="1"/>
      <c r="Q170" s="1"/>
    </row>
    <row r="171" spans="1:17">
      <c r="A171" s="5">
        <v>775</v>
      </c>
      <c r="B171" s="24" t="s">
        <v>334</v>
      </c>
      <c r="C171" s="549">
        <v>1400</v>
      </c>
      <c r="D171" s="577"/>
      <c r="E171" s="546">
        <v>114</v>
      </c>
      <c r="F171" s="546">
        <v>310.7</v>
      </c>
      <c r="G171" s="551">
        <f t="shared" si="4"/>
        <v>388.375</v>
      </c>
      <c r="H171" s="550">
        <v>1747</v>
      </c>
      <c r="I171" s="162">
        <v>150</v>
      </c>
      <c r="J171" s="549">
        <v>0</v>
      </c>
      <c r="K171" s="549">
        <v>0</v>
      </c>
      <c r="L171" s="8"/>
      <c r="M171" s="1"/>
      <c r="N171" s="1"/>
      <c r="O171" s="1"/>
      <c r="P171" s="1"/>
      <c r="Q171" s="1"/>
    </row>
    <row r="172" spans="1:17">
      <c r="A172" s="5">
        <v>776</v>
      </c>
      <c r="B172" s="24" t="s">
        <v>335</v>
      </c>
      <c r="C172" s="549">
        <v>971</v>
      </c>
      <c r="D172" s="577"/>
      <c r="E172" s="546">
        <v>414.7</v>
      </c>
      <c r="F172" s="546">
        <v>0</v>
      </c>
      <c r="G172" s="547">
        <f t="shared" ref="G172:G173" si="15">F172</f>
        <v>0</v>
      </c>
      <c r="H172" s="550">
        <v>1298</v>
      </c>
      <c r="I172" s="162">
        <v>0</v>
      </c>
      <c r="J172" s="549">
        <v>0</v>
      </c>
      <c r="K172" s="549">
        <v>0</v>
      </c>
      <c r="L172" s="8"/>
      <c r="M172" s="1"/>
      <c r="N172" s="1"/>
      <c r="O172" s="1"/>
      <c r="P172" s="1"/>
      <c r="Q172" s="1"/>
    </row>
    <row r="173" spans="1:17">
      <c r="A173" s="5">
        <v>777</v>
      </c>
      <c r="B173" s="24" t="s">
        <v>336</v>
      </c>
      <c r="C173" s="549">
        <v>971</v>
      </c>
      <c r="D173" s="577"/>
      <c r="E173" s="546">
        <v>414.7</v>
      </c>
      <c r="F173" s="546">
        <v>0</v>
      </c>
      <c r="G173" s="547">
        <f t="shared" si="15"/>
        <v>0</v>
      </c>
      <c r="H173" s="550">
        <v>1298</v>
      </c>
      <c r="I173" s="162">
        <v>0</v>
      </c>
      <c r="J173" s="549">
        <v>0</v>
      </c>
      <c r="K173" s="549">
        <v>155</v>
      </c>
      <c r="L173" s="8"/>
      <c r="M173" s="1"/>
      <c r="N173" s="1"/>
      <c r="O173" s="1"/>
      <c r="P173" s="1"/>
      <c r="Q173" s="1"/>
    </row>
    <row r="174" spans="1:17">
      <c r="A174" s="5">
        <v>778</v>
      </c>
      <c r="B174" s="24" t="s">
        <v>337</v>
      </c>
      <c r="C174" s="549">
        <v>1692</v>
      </c>
      <c r="D174" s="577"/>
      <c r="E174" s="546">
        <v>76</v>
      </c>
      <c r="F174" s="546">
        <v>362.7</v>
      </c>
      <c r="G174" s="551">
        <f t="shared" si="4"/>
        <v>453.375</v>
      </c>
      <c r="H174" s="550">
        <v>2040</v>
      </c>
      <c r="I174" s="162">
        <v>17</v>
      </c>
      <c r="J174" s="549">
        <v>0</v>
      </c>
      <c r="K174" s="549">
        <v>0</v>
      </c>
      <c r="L174" s="8"/>
      <c r="M174" s="1"/>
      <c r="N174" s="1"/>
      <c r="O174" s="1"/>
      <c r="P174" s="1"/>
      <c r="Q174" s="1"/>
    </row>
    <row r="175" spans="1:17">
      <c r="A175" s="5">
        <v>779</v>
      </c>
      <c r="B175" s="25" t="s">
        <v>338</v>
      </c>
      <c r="C175" s="549">
        <v>853</v>
      </c>
      <c r="D175" s="577"/>
      <c r="E175" s="546">
        <v>414.7</v>
      </c>
      <c r="F175" s="546">
        <v>0</v>
      </c>
      <c r="G175" s="547">
        <f t="shared" ref="G175:G178" si="16">F175</f>
        <v>0</v>
      </c>
      <c r="H175" s="550">
        <v>1180</v>
      </c>
      <c r="I175" s="162">
        <v>0</v>
      </c>
      <c r="J175" s="549">
        <v>0</v>
      </c>
      <c r="K175" s="549">
        <v>0</v>
      </c>
      <c r="L175" s="8"/>
      <c r="M175" s="1"/>
      <c r="N175" s="1"/>
      <c r="O175" s="1"/>
      <c r="P175" s="1"/>
      <c r="Q175" s="1"/>
    </row>
    <row r="176" spans="1:17">
      <c r="A176" s="5">
        <v>780</v>
      </c>
      <c r="B176" s="24" t="s">
        <v>339</v>
      </c>
      <c r="C176" s="549">
        <v>3146</v>
      </c>
      <c r="D176" s="577"/>
      <c r="E176" s="546">
        <v>0</v>
      </c>
      <c r="F176" s="546">
        <v>0</v>
      </c>
      <c r="G176" s="547">
        <f t="shared" si="16"/>
        <v>0</v>
      </c>
      <c r="H176" s="550">
        <v>3146</v>
      </c>
      <c r="I176" s="162">
        <v>0</v>
      </c>
      <c r="J176" s="549">
        <v>0</v>
      </c>
      <c r="K176" s="549">
        <v>0</v>
      </c>
      <c r="L176" s="8"/>
      <c r="M176" s="1"/>
      <c r="N176" s="1"/>
      <c r="O176" s="1"/>
      <c r="P176" s="1"/>
      <c r="Q176" s="1"/>
    </row>
    <row r="177" spans="1:17">
      <c r="A177" s="5">
        <v>781</v>
      </c>
      <c r="B177" s="24" t="s">
        <v>340</v>
      </c>
      <c r="C177" s="549">
        <v>2288</v>
      </c>
      <c r="D177" s="577"/>
      <c r="E177" s="546">
        <v>0</v>
      </c>
      <c r="F177" s="546">
        <v>0</v>
      </c>
      <c r="G177" s="547">
        <f t="shared" si="16"/>
        <v>0</v>
      </c>
      <c r="H177" s="550">
        <v>2288</v>
      </c>
      <c r="I177" s="162">
        <v>0</v>
      </c>
      <c r="J177" s="549">
        <v>0</v>
      </c>
      <c r="K177" s="549">
        <v>0</v>
      </c>
      <c r="L177" s="8"/>
      <c r="M177" s="1"/>
      <c r="N177" s="1"/>
      <c r="O177" s="1"/>
      <c r="P177" s="1"/>
      <c r="Q177" s="1"/>
    </row>
    <row r="178" spans="1:17">
      <c r="A178" s="5">
        <v>783</v>
      </c>
      <c r="B178" s="24" t="s">
        <v>341</v>
      </c>
      <c r="C178" s="549">
        <v>690</v>
      </c>
      <c r="D178" s="577"/>
      <c r="E178" s="546">
        <v>414.7</v>
      </c>
      <c r="F178" s="546">
        <v>0</v>
      </c>
      <c r="G178" s="547">
        <f t="shared" si="16"/>
        <v>0</v>
      </c>
      <c r="H178" s="550">
        <v>1017</v>
      </c>
      <c r="I178" s="162">
        <v>0</v>
      </c>
      <c r="J178" s="549">
        <v>0</v>
      </c>
      <c r="K178" s="549">
        <v>0</v>
      </c>
      <c r="L178" s="8"/>
      <c r="M178" s="1"/>
      <c r="N178" s="1"/>
      <c r="O178" s="1"/>
      <c r="P178" s="1"/>
      <c r="Q178" s="1"/>
    </row>
    <row r="179" spans="1:17">
      <c r="A179" s="5">
        <v>784</v>
      </c>
      <c r="B179" s="34" t="s">
        <v>342</v>
      </c>
      <c r="C179" s="557">
        <v>1600</v>
      </c>
      <c r="D179" s="578"/>
      <c r="E179" s="546">
        <v>88</v>
      </c>
      <c r="F179" s="546">
        <v>310.7</v>
      </c>
      <c r="G179" s="551">
        <f t="shared" ref="G179:G231" si="17">F179*1.25</f>
        <v>388.375</v>
      </c>
      <c r="H179" s="550">
        <v>1921</v>
      </c>
      <c r="I179" s="162">
        <v>0</v>
      </c>
      <c r="J179" s="549">
        <v>0</v>
      </c>
      <c r="K179" s="549">
        <v>0</v>
      </c>
      <c r="L179" s="8"/>
      <c r="M179" s="1"/>
      <c r="N179" s="1"/>
      <c r="O179" s="1"/>
      <c r="P179" s="1"/>
      <c r="Q179" s="1"/>
    </row>
    <row r="180" spans="1:17">
      <c r="A180" s="35">
        <v>785</v>
      </c>
      <c r="B180" s="34" t="s">
        <v>343</v>
      </c>
      <c r="C180" s="557">
        <v>1782</v>
      </c>
      <c r="D180" s="578"/>
      <c r="E180" s="546">
        <v>64</v>
      </c>
      <c r="F180" s="546">
        <v>517.29999999999995</v>
      </c>
      <c r="G180" s="551">
        <f t="shared" si="17"/>
        <v>646.625</v>
      </c>
      <c r="H180" s="550">
        <v>2234</v>
      </c>
      <c r="I180" s="162">
        <v>17</v>
      </c>
      <c r="J180" s="549">
        <v>0</v>
      </c>
      <c r="K180" s="549">
        <v>0</v>
      </c>
      <c r="L180" s="8"/>
      <c r="M180" s="1"/>
      <c r="N180" s="1"/>
      <c r="O180" s="1"/>
      <c r="P180" s="1"/>
      <c r="Q180" s="1"/>
    </row>
    <row r="181" spans="1:17">
      <c r="A181" s="35">
        <v>787</v>
      </c>
      <c r="B181" s="34" t="s">
        <v>344</v>
      </c>
      <c r="C181" s="557">
        <v>1700</v>
      </c>
      <c r="D181" s="578"/>
      <c r="E181" s="546">
        <v>75</v>
      </c>
      <c r="F181" s="546">
        <v>310.7</v>
      </c>
      <c r="G181" s="551">
        <f t="shared" si="17"/>
        <v>388.375</v>
      </c>
      <c r="H181" s="550">
        <v>2008</v>
      </c>
      <c r="I181" s="162">
        <v>17</v>
      </c>
      <c r="J181" s="549">
        <v>0</v>
      </c>
      <c r="K181" s="549">
        <v>0</v>
      </c>
      <c r="L181" s="8"/>
      <c r="M181" s="1"/>
      <c r="N181" s="1"/>
      <c r="O181" s="1"/>
      <c r="P181" s="1"/>
      <c r="Q181" s="1"/>
    </row>
    <row r="182" spans="1:17">
      <c r="A182" s="5">
        <v>788</v>
      </c>
      <c r="B182" s="24" t="s">
        <v>345</v>
      </c>
      <c r="C182" s="549">
        <v>2000</v>
      </c>
      <c r="D182" s="577"/>
      <c r="E182" s="546">
        <v>36</v>
      </c>
      <c r="F182" s="546">
        <v>0</v>
      </c>
      <c r="G182" s="547">
        <f t="shared" ref="G182:G183" si="18">F182</f>
        <v>0</v>
      </c>
      <c r="H182" s="550">
        <v>2036</v>
      </c>
      <c r="I182" s="162">
        <v>0</v>
      </c>
      <c r="J182" s="549">
        <v>0</v>
      </c>
      <c r="K182" s="549">
        <v>0</v>
      </c>
      <c r="L182" s="8"/>
      <c r="M182" s="1"/>
      <c r="N182" s="1"/>
      <c r="O182" s="1"/>
      <c r="P182" s="1"/>
      <c r="Q182" s="1"/>
    </row>
    <row r="183" spans="1:17">
      <c r="A183" s="5">
        <v>789</v>
      </c>
      <c r="B183" s="24" t="s">
        <v>346</v>
      </c>
      <c r="C183" s="549">
        <v>971</v>
      </c>
      <c r="D183" s="577"/>
      <c r="E183" s="546">
        <v>414.7</v>
      </c>
      <c r="F183" s="546">
        <v>0</v>
      </c>
      <c r="G183" s="547">
        <f t="shared" si="18"/>
        <v>0</v>
      </c>
      <c r="H183" s="550">
        <v>1298</v>
      </c>
      <c r="I183" s="162">
        <v>0</v>
      </c>
      <c r="J183" s="549">
        <v>0</v>
      </c>
      <c r="K183" s="549">
        <v>0</v>
      </c>
      <c r="L183" s="8"/>
      <c r="M183" s="1"/>
      <c r="N183" s="1"/>
      <c r="O183" s="1"/>
      <c r="P183" s="1"/>
      <c r="Q183" s="1"/>
    </row>
    <row r="184" spans="1:17">
      <c r="A184" s="5">
        <v>791</v>
      </c>
      <c r="B184" s="24" t="s">
        <v>347</v>
      </c>
      <c r="C184" s="549">
        <v>2913</v>
      </c>
      <c r="D184" s="577"/>
      <c r="E184" s="546">
        <v>0</v>
      </c>
      <c r="F184" s="546">
        <v>776</v>
      </c>
      <c r="G184" s="551">
        <f t="shared" si="17"/>
        <v>970</v>
      </c>
      <c r="H184" s="550">
        <v>3379</v>
      </c>
      <c r="I184" s="162">
        <v>17</v>
      </c>
      <c r="J184" s="549">
        <v>0</v>
      </c>
      <c r="K184" s="549">
        <v>0</v>
      </c>
      <c r="L184" s="8"/>
      <c r="M184" s="1"/>
      <c r="N184" s="1"/>
      <c r="O184" s="1"/>
      <c r="P184" s="1"/>
      <c r="Q184" s="1"/>
    </row>
    <row r="185" spans="1:17">
      <c r="A185" s="5">
        <v>792</v>
      </c>
      <c r="B185" s="24" t="s">
        <v>348</v>
      </c>
      <c r="C185" s="549">
        <v>2913</v>
      </c>
      <c r="D185" s="577"/>
      <c r="E185" s="546">
        <v>0</v>
      </c>
      <c r="F185" s="546">
        <v>776</v>
      </c>
      <c r="G185" s="551">
        <f t="shared" si="17"/>
        <v>970</v>
      </c>
      <c r="H185" s="550">
        <v>3379</v>
      </c>
      <c r="I185" s="162">
        <v>0</v>
      </c>
      <c r="J185" s="549">
        <v>0</v>
      </c>
      <c r="K185" s="549">
        <v>0</v>
      </c>
      <c r="L185" s="8"/>
      <c r="M185" s="1"/>
      <c r="N185" s="1"/>
      <c r="O185" s="1"/>
      <c r="P185" s="1"/>
      <c r="Q185" s="1"/>
    </row>
    <row r="186" spans="1:17">
      <c r="A186" s="5">
        <v>793</v>
      </c>
      <c r="B186" s="24" t="s">
        <v>349</v>
      </c>
      <c r="C186" s="549">
        <v>2913</v>
      </c>
      <c r="D186" s="577"/>
      <c r="E186" s="546">
        <v>0</v>
      </c>
      <c r="F186" s="546">
        <v>776</v>
      </c>
      <c r="G186" s="551">
        <f t="shared" si="17"/>
        <v>970</v>
      </c>
      <c r="H186" s="550">
        <v>3379</v>
      </c>
      <c r="I186" s="162">
        <v>0</v>
      </c>
      <c r="J186" s="549">
        <v>0</v>
      </c>
      <c r="K186" s="549">
        <v>0</v>
      </c>
      <c r="L186" s="8"/>
      <c r="M186" s="1"/>
      <c r="N186" s="1"/>
      <c r="O186" s="1"/>
      <c r="P186" s="1"/>
      <c r="Q186" s="1"/>
    </row>
    <row r="187" spans="1:17">
      <c r="A187" s="5">
        <v>794</v>
      </c>
      <c r="B187" s="24" t="s">
        <v>350</v>
      </c>
      <c r="C187" s="549">
        <v>1840</v>
      </c>
      <c r="D187" s="577">
        <v>744</v>
      </c>
      <c r="E187" s="546">
        <v>57</v>
      </c>
      <c r="F187" s="546">
        <v>465.3</v>
      </c>
      <c r="G187" s="551">
        <f t="shared" si="17"/>
        <v>581.625</v>
      </c>
      <c r="H187" s="550">
        <v>2246</v>
      </c>
      <c r="I187" s="162">
        <v>0</v>
      </c>
      <c r="J187" s="549">
        <v>0</v>
      </c>
      <c r="K187" s="549">
        <v>0</v>
      </c>
      <c r="L187" s="8"/>
      <c r="M187" s="1"/>
      <c r="N187" s="1"/>
      <c r="O187" s="1"/>
      <c r="P187" s="1"/>
      <c r="Q187" s="1"/>
    </row>
    <row r="188" spans="1:17">
      <c r="A188" s="5">
        <v>795</v>
      </c>
      <c r="B188" s="24" t="s">
        <v>351</v>
      </c>
      <c r="C188" s="557">
        <v>1610</v>
      </c>
      <c r="D188" s="578">
        <v>650</v>
      </c>
      <c r="E188" s="546">
        <v>107</v>
      </c>
      <c r="F188" s="546">
        <v>310</v>
      </c>
      <c r="G188" s="551">
        <f t="shared" si="17"/>
        <v>387.5</v>
      </c>
      <c r="H188" s="550">
        <v>1950</v>
      </c>
      <c r="I188" s="162">
        <v>0</v>
      </c>
      <c r="J188" s="549">
        <v>0</v>
      </c>
      <c r="K188" s="549">
        <v>0</v>
      </c>
      <c r="L188" s="8"/>
      <c r="M188" s="1"/>
      <c r="N188" s="1"/>
      <c r="O188" s="1"/>
      <c r="P188" s="1"/>
      <c r="Q188" s="1"/>
    </row>
    <row r="189" spans="1:17">
      <c r="A189" s="5">
        <v>796</v>
      </c>
      <c r="B189" s="24" t="s">
        <v>352</v>
      </c>
      <c r="C189" s="549">
        <v>1340</v>
      </c>
      <c r="D189" s="577"/>
      <c r="E189" s="546">
        <v>122</v>
      </c>
      <c r="F189" s="546">
        <v>310</v>
      </c>
      <c r="G189" s="551">
        <f t="shared" si="17"/>
        <v>387.5</v>
      </c>
      <c r="H189" s="550">
        <v>1695</v>
      </c>
      <c r="I189" s="162">
        <v>0</v>
      </c>
      <c r="J189" s="549">
        <v>0</v>
      </c>
      <c r="K189" s="549">
        <v>0</v>
      </c>
      <c r="L189" s="8"/>
      <c r="M189" s="1"/>
      <c r="N189" s="1"/>
      <c r="O189" s="1"/>
      <c r="P189" s="1"/>
      <c r="Q189" s="1"/>
    </row>
    <row r="190" spans="1:17">
      <c r="A190" s="5">
        <v>797</v>
      </c>
      <c r="B190" s="24" t="s">
        <v>353</v>
      </c>
      <c r="C190" s="549">
        <v>1170</v>
      </c>
      <c r="D190" s="577"/>
      <c r="E190" s="546">
        <v>144</v>
      </c>
      <c r="F190" s="546">
        <v>0</v>
      </c>
      <c r="G190" s="547">
        <f t="shared" ref="G190:G191" si="19">F190</f>
        <v>0</v>
      </c>
      <c r="H190" s="550">
        <v>1314</v>
      </c>
      <c r="I190" s="162">
        <v>0</v>
      </c>
      <c r="J190" s="549">
        <v>0</v>
      </c>
      <c r="K190" s="549">
        <v>0</v>
      </c>
      <c r="L190" s="8"/>
      <c r="M190" s="1"/>
      <c r="N190" s="1"/>
      <c r="O190" s="1"/>
      <c r="P190" s="1"/>
      <c r="Q190" s="1"/>
    </row>
    <row r="191" spans="1:17">
      <c r="A191" s="5">
        <v>798</v>
      </c>
      <c r="B191" s="24" t="s">
        <v>354</v>
      </c>
      <c r="C191" s="549">
        <v>961</v>
      </c>
      <c r="D191" s="577"/>
      <c r="E191" s="546">
        <v>414.7</v>
      </c>
      <c r="F191" s="546">
        <v>0</v>
      </c>
      <c r="G191" s="547">
        <f t="shared" si="19"/>
        <v>0</v>
      </c>
      <c r="H191" s="550">
        <v>1288</v>
      </c>
      <c r="I191" s="162">
        <v>0</v>
      </c>
      <c r="J191" s="549">
        <v>0</v>
      </c>
      <c r="K191" s="549">
        <v>0</v>
      </c>
      <c r="L191" s="8"/>
      <c r="M191" s="1"/>
      <c r="N191" s="1"/>
      <c r="O191" s="1"/>
      <c r="P191" s="1"/>
      <c r="Q191" s="1"/>
    </row>
    <row r="192" spans="1:17">
      <c r="A192" s="26">
        <v>800</v>
      </c>
      <c r="B192" s="27" t="s">
        <v>355</v>
      </c>
      <c r="C192" s="553">
        <v>1942</v>
      </c>
      <c r="D192" s="577">
        <f>14848.7/Indiceproljorene23</f>
        <v>222.99999549455518</v>
      </c>
      <c r="E192" s="546">
        <v>43</v>
      </c>
      <c r="F192" s="546">
        <v>310</v>
      </c>
      <c r="G192" s="551">
        <f t="shared" si="17"/>
        <v>387.5</v>
      </c>
      <c r="H192" s="550">
        <v>2218</v>
      </c>
      <c r="I192" s="549">
        <v>17</v>
      </c>
      <c r="J192" s="549">
        <v>223</v>
      </c>
      <c r="K192" s="549">
        <v>0</v>
      </c>
      <c r="L192" s="8"/>
      <c r="M192" s="1"/>
      <c r="N192" s="1"/>
      <c r="O192" s="1"/>
      <c r="P192" s="1"/>
      <c r="Q192" s="1"/>
    </row>
    <row r="193" spans="1:17">
      <c r="A193" s="26">
        <v>801</v>
      </c>
      <c r="B193" s="27" t="s">
        <v>356</v>
      </c>
      <c r="C193" s="553">
        <v>1782</v>
      </c>
      <c r="D193" s="577">
        <f>27500.06/Indiceproljorene23</f>
        <v>413.00001051270459</v>
      </c>
      <c r="E193" s="546">
        <v>64</v>
      </c>
      <c r="F193" s="546">
        <v>310</v>
      </c>
      <c r="G193" s="551">
        <f t="shared" si="17"/>
        <v>387.5</v>
      </c>
      <c r="H193" s="550">
        <v>2079</v>
      </c>
      <c r="I193" s="549">
        <v>17</v>
      </c>
      <c r="J193" s="549">
        <v>223</v>
      </c>
      <c r="K193" s="549">
        <v>0</v>
      </c>
      <c r="L193" s="8"/>
      <c r="M193" s="1"/>
      <c r="N193" s="1"/>
      <c r="O193" s="1"/>
      <c r="P193" s="1"/>
      <c r="Q193" s="1"/>
    </row>
    <row r="194" spans="1:17">
      <c r="A194" s="26">
        <v>802</v>
      </c>
      <c r="B194" s="27" t="s">
        <v>357</v>
      </c>
      <c r="C194" s="553">
        <v>1700</v>
      </c>
      <c r="D194" s="577"/>
      <c r="E194" s="546">
        <v>75</v>
      </c>
      <c r="F194" s="546">
        <v>310</v>
      </c>
      <c r="G194" s="551">
        <f t="shared" si="17"/>
        <v>387.5</v>
      </c>
      <c r="H194" s="550">
        <v>2008</v>
      </c>
      <c r="I194" s="549">
        <v>17</v>
      </c>
      <c r="J194" s="549">
        <v>211</v>
      </c>
      <c r="K194" s="549">
        <v>0</v>
      </c>
      <c r="L194" s="8"/>
      <c r="M194" s="1"/>
      <c r="N194" s="1"/>
      <c r="O194" s="1"/>
      <c r="P194" s="1"/>
      <c r="Q194" s="1"/>
    </row>
    <row r="195" spans="1:17">
      <c r="A195" s="26">
        <v>803</v>
      </c>
      <c r="B195" s="27" t="s">
        <v>358</v>
      </c>
      <c r="C195" s="553">
        <v>971</v>
      </c>
      <c r="D195" s="577"/>
      <c r="E195" s="546">
        <v>214</v>
      </c>
      <c r="F195" s="546">
        <v>0</v>
      </c>
      <c r="G195" s="547">
        <f>F195</f>
        <v>0</v>
      </c>
      <c r="H195" s="550">
        <v>1298</v>
      </c>
      <c r="I195" s="552">
        <v>0</v>
      </c>
      <c r="J195" s="553">
        <v>413</v>
      </c>
      <c r="K195" s="553">
        <v>0</v>
      </c>
      <c r="L195" s="29"/>
      <c r="M195" s="30"/>
      <c r="N195" s="30"/>
      <c r="O195" s="30"/>
      <c r="P195" s="30"/>
      <c r="Q195" s="30"/>
    </row>
    <row r="196" spans="1:17">
      <c r="A196" s="26">
        <v>807</v>
      </c>
      <c r="B196" s="27" t="s">
        <v>359</v>
      </c>
      <c r="C196" s="553">
        <v>1942</v>
      </c>
      <c r="D196" s="577"/>
      <c r="E196" s="546">
        <v>43</v>
      </c>
      <c r="F196" s="546">
        <v>518</v>
      </c>
      <c r="G196" s="551">
        <f t="shared" si="17"/>
        <v>647.5</v>
      </c>
      <c r="H196" s="550">
        <v>0</v>
      </c>
      <c r="I196" s="553">
        <v>0</v>
      </c>
      <c r="J196" s="553">
        <v>0</v>
      </c>
      <c r="K196" s="553">
        <v>0</v>
      </c>
      <c r="L196" s="28">
        <v>0</v>
      </c>
      <c r="M196" s="30"/>
      <c r="N196" s="30"/>
      <c r="O196" s="30"/>
      <c r="P196" s="30"/>
      <c r="Q196" s="30"/>
    </row>
    <row r="197" spans="1:17">
      <c r="A197" s="5">
        <v>808</v>
      </c>
      <c r="B197" s="24" t="s">
        <v>360</v>
      </c>
      <c r="C197" s="549">
        <v>1942</v>
      </c>
      <c r="D197" s="577"/>
      <c r="E197" s="546">
        <v>43</v>
      </c>
      <c r="F197" s="546">
        <v>310.7</v>
      </c>
      <c r="G197" s="551">
        <f t="shared" si="17"/>
        <v>388.375</v>
      </c>
      <c r="H197" s="550">
        <v>2218</v>
      </c>
      <c r="I197" s="162">
        <v>0</v>
      </c>
      <c r="J197" s="549">
        <v>0</v>
      </c>
      <c r="K197" s="549">
        <v>669</v>
      </c>
      <c r="L197" s="8"/>
      <c r="M197" s="1"/>
      <c r="N197" s="1"/>
      <c r="O197" s="1"/>
      <c r="P197" s="1"/>
      <c r="Q197" s="1"/>
    </row>
    <row r="198" spans="1:17">
      <c r="A198" s="5">
        <v>809</v>
      </c>
      <c r="B198" s="24" t="s">
        <v>361</v>
      </c>
      <c r="C198" s="549">
        <v>1782</v>
      </c>
      <c r="D198" s="577"/>
      <c r="E198" s="546">
        <v>64</v>
      </c>
      <c r="F198" s="546">
        <v>310.7</v>
      </c>
      <c r="G198" s="551">
        <f t="shared" si="17"/>
        <v>388.375</v>
      </c>
      <c r="H198" s="550">
        <v>2079</v>
      </c>
      <c r="I198" s="162">
        <v>0</v>
      </c>
      <c r="J198" s="549">
        <v>0</v>
      </c>
      <c r="K198" s="549">
        <v>669</v>
      </c>
      <c r="L198" s="8"/>
      <c r="M198" s="1"/>
      <c r="N198" s="1"/>
      <c r="O198" s="1"/>
      <c r="P198" s="1"/>
      <c r="Q198" s="1"/>
    </row>
    <row r="199" spans="1:17">
      <c r="A199" s="5">
        <v>810</v>
      </c>
      <c r="B199" s="24" t="s">
        <v>362</v>
      </c>
      <c r="C199" s="549">
        <v>1692</v>
      </c>
      <c r="D199" s="577"/>
      <c r="E199" s="546">
        <v>76</v>
      </c>
      <c r="F199" s="546">
        <v>310.7</v>
      </c>
      <c r="G199" s="551">
        <f t="shared" si="17"/>
        <v>388.375</v>
      </c>
      <c r="H199" s="550">
        <v>2001</v>
      </c>
      <c r="I199" s="162">
        <v>0</v>
      </c>
      <c r="J199" s="549">
        <v>0</v>
      </c>
      <c r="K199" s="549">
        <v>663</v>
      </c>
      <c r="L199" s="8"/>
      <c r="M199" s="1"/>
      <c r="N199" s="1"/>
      <c r="O199" s="1"/>
      <c r="P199" s="1"/>
      <c r="Q199" s="1"/>
    </row>
    <row r="200" spans="1:17">
      <c r="A200" s="5">
        <v>811</v>
      </c>
      <c r="B200" s="24" t="s">
        <v>363</v>
      </c>
      <c r="C200" s="549">
        <v>1592</v>
      </c>
      <c r="D200" s="577"/>
      <c r="E200" s="546">
        <v>89</v>
      </c>
      <c r="F200" s="546">
        <v>310.7</v>
      </c>
      <c r="G200" s="551">
        <f t="shared" si="17"/>
        <v>388.375</v>
      </c>
      <c r="H200" s="550">
        <v>1914</v>
      </c>
      <c r="I200" s="162">
        <v>0</v>
      </c>
      <c r="J200" s="549">
        <v>0</v>
      </c>
      <c r="K200" s="549">
        <v>657</v>
      </c>
      <c r="L200" s="8"/>
      <c r="M200" s="1"/>
      <c r="N200" s="1"/>
      <c r="O200" s="1"/>
      <c r="P200" s="1"/>
      <c r="Q200" s="1"/>
    </row>
    <row r="201" spans="1:17">
      <c r="A201" s="5">
        <v>812</v>
      </c>
      <c r="B201" s="24" t="s">
        <v>364</v>
      </c>
      <c r="C201" s="549">
        <v>1600</v>
      </c>
      <c r="D201" s="577"/>
      <c r="E201" s="546">
        <v>88</v>
      </c>
      <c r="F201" s="546">
        <v>310.7</v>
      </c>
      <c r="G201" s="551">
        <f t="shared" si="17"/>
        <v>388.375</v>
      </c>
      <c r="H201" s="550">
        <v>1921</v>
      </c>
      <c r="I201" s="162">
        <v>0</v>
      </c>
      <c r="J201" s="549">
        <v>0</v>
      </c>
      <c r="K201" s="549">
        <v>657</v>
      </c>
      <c r="L201" s="8"/>
      <c r="M201" s="1"/>
      <c r="N201" s="1"/>
      <c r="O201" s="1"/>
      <c r="P201" s="1"/>
      <c r="Q201" s="1"/>
    </row>
    <row r="202" spans="1:17">
      <c r="A202" s="5">
        <v>813</v>
      </c>
      <c r="B202" s="24" t="s">
        <v>365</v>
      </c>
      <c r="C202" s="549">
        <v>971</v>
      </c>
      <c r="D202" s="577"/>
      <c r="E202" s="546">
        <v>214</v>
      </c>
      <c r="F202" s="546">
        <v>0</v>
      </c>
      <c r="G202" s="547">
        <f t="shared" ref="G202:G204" si="20">F202</f>
        <v>0</v>
      </c>
      <c r="H202" s="550">
        <v>1185</v>
      </c>
      <c r="I202" s="162">
        <v>0</v>
      </c>
      <c r="J202" s="549">
        <v>0</v>
      </c>
      <c r="K202" s="549">
        <v>620</v>
      </c>
      <c r="L202" s="8"/>
      <c r="M202" s="1"/>
      <c r="N202" s="1"/>
      <c r="O202" s="1"/>
      <c r="P202" s="1"/>
      <c r="Q202" s="1"/>
    </row>
    <row r="203" spans="1:17">
      <c r="A203" s="5">
        <v>814</v>
      </c>
      <c r="B203" s="24" t="s">
        <v>366</v>
      </c>
      <c r="C203" s="549">
        <v>971</v>
      </c>
      <c r="D203" s="577"/>
      <c r="E203" s="546">
        <v>214</v>
      </c>
      <c r="F203" s="546">
        <v>0</v>
      </c>
      <c r="G203" s="547">
        <f t="shared" si="20"/>
        <v>0</v>
      </c>
      <c r="H203" s="550">
        <v>1185</v>
      </c>
      <c r="I203" s="162">
        <v>0</v>
      </c>
      <c r="J203" s="549">
        <v>0</v>
      </c>
      <c r="K203" s="549">
        <v>155</v>
      </c>
      <c r="L203" s="8"/>
      <c r="M203" s="1"/>
      <c r="N203" s="1"/>
      <c r="O203" s="1"/>
      <c r="P203" s="1"/>
      <c r="Q203" s="1"/>
    </row>
    <row r="204" spans="1:17">
      <c r="A204" s="5">
        <v>815</v>
      </c>
      <c r="B204" s="24" t="s">
        <v>367</v>
      </c>
      <c r="C204" s="549">
        <v>971</v>
      </c>
      <c r="D204" s="577"/>
      <c r="E204" s="546">
        <v>214</v>
      </c>
      <c r="F204" s="546">
        <v>0</v>
      </c>
      <c r="G204" s="547">
        <f t="shared" si="20"/>
        <v>0</v>
      </c>
      <c r="H204" s="550">
        <v>1185</v>
      </c>
      <c r="I204" s="162">
        <v>17</v>
      </c>
      <c r="J204" s="549">
        <v>0</v>
      </c>
      <c r="K204" s="549">
        <v>0</v>
      </c>
      <c r="L204" s="8"/>
      <c r="M204" s="1"/>
      <c r="N204" s="1"/>
      <c r="O204" s="1"/>
      <c r="P204" s="1"/>
      <c r="Q204" s="1"/>
    </row>
    <row r="205" spans="1:17">
      <c r="A205" s="5">
        <v>816</v>
      </c>
      <c r="B205" s="24" t="s">
        <v>368</v>
      </c>
      <c r="C205" s="549">
        <v>1600</v>
      </c>
      <c r="D205" s="577"/>
      <c r="E205" s="546">
        <v>88</v>
      </c>
      <c r="F205" s="546">
        <v>310.7</v>
      </c>
      <c r="G205" s="551">
        <f t="shared" si="17"/>
        <v>388.375</v>
      </c>
      <c r="H205" s="550">
        <v>1921</v>
      </c>
      <c r="I205" s="162">
        <v>17</v>
      </c>
      <c r="J205" s="549">
        <v>0</v>
      </c>
      <c r="K205" s="549">
        <v>0</v>
      </c>
      <c r="L205" s="8"/>
      <c r="M205" s="1"/>
      <c r="N205" s="1"/>
      <c r="O205" s="1"/>
      <c r="P205" s="1"/>
      <c r="Q205" s="1"/>
    </row>
    <row r="206" spans="1:17">
      <c r="A206" s="5">
        <v>817</v>
      </c>
      <c r="B206" s="24" t="s">
        <v>369</v>
      </c>
      <c r="C206" s="549">
        <v>1782</v>
      </c>
      <c r="D206" s="577"/>
      <c r="E206" s="546">
        <v>64</v>
      </c>
      <c r="F206" s="546">
        <v>465.3</v>
      </c>
      <c r="G206" s="551">
        <f t="shared" si="17"/>
        <v>581.625</v>
      </c>
      <c r="H206" s="550">
        <v>2195</v>
      </c>
      <c r="I206" s="162">
        <v>0</v>
      </c>
      <c r="J206" s="549">
        <v>0</v>
      </c>
      <c r="K206" s="549">
        <v>839</v>
      </c>
      <c r="L206" s="8"/>
      <c r="M206" s="1"/>
      <c r="N206" s="1"/>
      <c r="O206" s="1"/>
      <c r="P206" s="1"/>
      <c r="Q206" s="1"/>
    </row>
    <row r="207" spans="1:17">
      <c r="A207" s="5">
        <v>818</v>
      </c>
      <c r="B207" s="24" t="s">
        <v>370</v>
      </c>
      <c r="C207" s="549">
        <v>971</v>
      </c>
      <c r="D207" s="577"/>
      <c r="E207" s="546">
        <v>214</v>
      </c>
      <c r="F207" s="546">
        <v>0</v>
      </c>
      <c r="G207" s="547">
        <f t="shared" ref="G207:G208" si="21">F207</f>
        <v>0</v>
      </c>
      <c r="H207" s="550">
        <v>1185</v>
      </c>
      <c r="I207" s="162">
        <v>0</v>
      </c>
      <c r="J207" s="549">
        <v>0</v>
      </c>
      <c r="K207" s="549">
        <v>659</v>
      </c>
      <c r="L207" s="8"/>
      <c r="M207" s="1"/>
      <c r="N207" s="1"/>
      <c r="O207" s="1"/>
      <c r="P207" s="1"/>
      <c r="Q207" s="1"/>
    </row>
    <row r="208" spans="1:17">
      <c r="A208" s="5">
        <v>819</v>
      </c>
      <c r="B208" s="24" t="s">
        <v>371</v>
      </c>
      <c r="C208" s="549">
        <v>971</v>
      </c>
      <c r="D208" s="577"/>
      <c r="E208" s="546">
        <v>214</v>
      </c>
      <c r="F208" s="546">
        <v>0</v>
      </c>
      <c r="G208" s="547">
        <f t="shared" si="21"/>
        <v>0</v>
      </c>
      <c r="H208" s="550">
        <v>1185</v>
      </c>
      <c r="I208" s="162">
        <v>0</v>
      </c>
      <c r="J208" s="549">
        <v>0</v>
      </c>
      <c r="K208" s="549">
        <v>155</v>
      </c>
      <c r="L208" s="8"/>
      <c r="M208" s="1"/>
      <c r="N208" s="1"/>
      <c r="O208" s="1"/>
      <c r="P208" s="1"/>
      <c r="Q208" s="1"/>
    </row>
    <row r="209" spans="1:17">
      <c r="A209" s="5">
        <v>820</v>
      </c>
      <c r="B209" s="24" t="s">
        <v>372</v>
      </c>
      <c r="C209" s="549">
        <v>1692</v>
      </c>
      <c r="D209" s="577"/>
      <c r="E209" s="546">
        <v>76</v>
      </c>
      <c r="F209" s="546">
        <v>362.7</v>
      </c>
      <c r="G209" s="551">
        <f t="shared" si="17"/>
        <v>453.375</v>
      </c>
      <c r="H209" s="550">
        <v>2040</v>
      </c>
      <c r="I209" s="162">
        <v>0</v>
      </c>
      <c r="J209" s="549">
        <v>0</v>
      </c>
      <c r="K209" s="549">
        <v>839</v>
      </c>
      <c r="L209" s="8"/>
      <c r="M209" s="1"/>
      <c r="N209" s="1"/>
      <c r="O209" s="1"/>
      <c r="P209" s="1"/>
      <c r="Q209" s="1"/>
    </row>
    <row r="210" spans="1:17">
      <c r="A210" s="5">
        <v>821</v>
      </c>
      <c r="B210" s="24" t="s">
        <v>373</v>
      </c>
      <c r="C210" s="549">
        <v>1592</v>
      </c>
      <c r="D210" s="577"/>
      <c r="E210" s="546">
        <v>89</v>
      </c>
      <c r="F210" s="546">
        <v>310.7</v>
      </c>
      <c r="G210" s="551">
        <f t="shared" si="17"/>
        <v>388.375</v>
      </c>
      <c r="H210" s="550">
        <v>1914</v>
      </c>
      <c r="I210" s="162">
        <v>0</v>
      </c>
      <c r="J210" s="549">
        <v>0</v>
      </c>
      <c r="K210" s="549">
        <v>839</v>
      </c>
      <c r="L210" s="8"/>
      <c r="M210" s="1"/>
      <c r="N210" s="1"/>
      <c r="O210" s="1"/>
      <c r="P210" s="1"/>
      <c r="Q210" s="1"/>
    </row>
    <row r="211" spans="1:17">
      <c r="A211" s="5">
        <v>822</v>
      </c>
      <c r="B211" s="24" t="s">
        <v>374</v>
      </c>
      <c r="C211" s="549">
        <v>971</v>
      </c>
      <c r="D211" s="577"/>
      <c r="E211" s="546">
        <v>414.7</v>
      </c>
      <c r="F211" s="546">
        <v>0</v>
      </c>
      <c r="G211" s="547">
        <f>F211</f>
        <v>0</v>
      </c>
      <c r="H211" s="550">
        <v>1298</v>
      </c>
      <c r="I211" s="162">
        <v>0</v>
      </c>
      <c r="J211" s="549">
        <v>0</v>
      </c>
      <c r="K211" s="549">
        <v>155</v>
      </c>
      <c r="L211" s="8"/>
      <c r="M211" s="1"/>
      <c r="N211" s="1"/>
      <c r="O211" s="1"/>
      <c r="P211" s="1"/>
      <c r="Q211" s="1"/>
    </row>
    <row r="212" spans="1:17">
      <c r="A212" s="5">
        <v>823</v>
      </c>
      <c r="B212" s="24" t="s">
        <v>375</v>
      </c>
      <c r="C212" s="549">
        <v>1700</v>
      </c>
      <c r="D212" s="577"/>
      <c r="E212" s="546">
        <v>75</v>
      </c>
      <c r="F212" s="546">
        <v>310.7</v>
      </c>
      <c r="G212" s="551">
        <f t="shared" si="17"/>
        <v>388.375</v>
      </c>
      <c r="H212" s="550">
        <v>2008</v>
      </c>
      <c r="I212" s="162">
        <v>0</v>
      </c>
      <c r="J212" s="549">
        <v>0</v>
      </c>
      <c r="K212" s="549">
        <v>657</v>
      </c>
      <c r="L212" s="8"/>
      <c r="M212" s="1"/>
      <c r="N212" s="1"/>
      <c r="O212" s="1"/>
      <c r="P212" s="1"/>
      <c r="Q212" s="1"/>
    </row>
    <row r="213" spans="1:17">
      <c r="A213" s="5">
        <v>824</v>
      </c>
      <c r="B213" s="24" t="s">
        <v>376</v>
      </c>
      <c r="C213" s="549">
        <v>1400</v>
      </c>
      <c r="D213" s="577"/>
      <c r="E213" s="546">
        <v>114</v>
      </c>
      <c r="F213" s="546">
        <v>310.7</v>
      </c>
      <c r="G213" s="551">
        <f t="shared" si="17"/>
        <v>388.375</v>
      </c>
      <c r="H213" s="550">
        <v>1747</v>
      </c>
      <c r="I213" s="162">
        <v>0</v>
      </c>
      <c r="J213" s="549">
        <v>0</v>
      </c>
      <c r="K213" s="549">
        <v>657</v>
      </c>
      <c r="L213" s="8"/>
      <c r="M213" s="1"/>
      <c r="N213" s="1"/>
      <c r="O213" s="1"/>
      <c r="P213" s="1"/>
      <c r="Q213" s="1"/>
    </row>
    <row r="214" spans="1:17">
      <c r="A214" s="5">
        <v>825</v>
      </c>
      <c r="B214" s="24" t="s">
        <v>377</v>
      </c>
      <c r="C214" s="549">
        <v>1300</v>
      </c>
      <c r="D214" s="577"/>
      <c r="E214" s="546">
        <v>127</v>
      </c>
      <c r="F214" s="546">
        <v>310.7</v>
      </c>
      <c r="G214" s="551">
        <f t="shared" si="17"/>
        <v>388.375</v>
      </c>
      <c r="H214" s="550">
        <v>1660</v>
      </c>
      <c r="I214" s="162">
        <v>0</v>
      </c>
      <c r="J214" s="549">
        <v>0</v>
      </c>
      <c r="K214" s="549">
        <v>657</v>
      </c>
      <c r="L214" s="8"/>
      <c r="M214" s="1"/>
      <c r="N214" s="1"/>
      <c r="O214" s="1"/>
      <c r="P214" s="1"/>
      <c r="Q214" s="1"/>
    </row>
    <row r="215" spans="1:17">
      <c r="A215" s="5">
        <v>826</v>
      </c>
      <c r="B215" s="24" t="s">
        <v>378</v>
      </c>
      <c r="C215" s="549">
        <v>1250</v>
      </c>
      <c r="D215" s="577"/>
      <c r="E215" s="546">
        <v>134</v>
      </c>
      <c r="F215" s="546">
        <v>310.7</v>
      </c>
      <c r="G215" s="551">
        <f t="shared" si="17"/>
        <v>388.375</v>
      </c>
      <c r="H215" s="550">
        <v>1617</v>
      </c>
      <c r="I215" s="162">
        <v>0</v>
      </c>
      <c r="J215" s="549">
        <v>0</v>
      </c>
      <c r="K215" s="549">
        <v>657</v>
      </c>
      <c r="L215" s="8"/>
      <c r="M215" s="1"/>
      <c r="N215" s="1"/>
      <c r="O215" s="1"/>
      <c r="P215" s="1"/>
      <c r="Q215" s="1"/>
    </row>
    <row r="216" spans="1:17">
      <c r="A216" s="5">
        <v>827</v>
      </c>
      <c r="B216" s="34" t="s">
        <v>379</v>
      </c>
      <c r="C216" s="557">
        <v>1942</v>
      </c>
      <c r="D216" s="578"/>
      <c r="E216" s="546">
        <v>43</v>
      </c>
      <c r="F216" s="546">
        <v>517.29999999999995</v>
      </c>
      <c r="G216" s="551">
        <f t="shared" si="17"/>
        <v>646.625</v>
      </c>
      <c r="H216" s="550">
        <v>2373</v>
      </c>
      <c r="I216" s="162">
        <v>0</v>
      </c>
      <c r="J216" s="549">
        <v>0</v>
      </c>
      <c r="K216" s="549">
        <v>0</v>
      </c>
      <c r="L216" s="8"/>
      <c r="M216" s="1"/>
      <c r="N216" s="1"/>
      <c r="O216" s="1"/>
      <c r="P216" s="1"/>
      <c r="Q216" s="1"/>
    </row>
    <row r="217" spans="1:17">
      <c r="A217" s="5">
        <v>828</v>
      </c>
      <c r="B217" s="24" t="s">
        <v>380</v>
      </c>
      <c r="C217" s="549">
        <v>2913</v>
      </c>
      <c r="D217" s="577"/>
      <c r="E217" s="546">
        <v>0</v>
      </c>
      <c r="F217" s="546">
        <v>0</v>
      </c>
      <c r="G217" s="547">
        <f>F217</f>
        <v>0</v>
      </c>
      <c r="H217" s="550">
        <v>2913</v>
      </c>
      <c r="I217" s="162">
        <v>0</v>
      </c>
      <c r="J217" s="549">
        <v>0</v>
      </c>
      <c r="K217" s="549">
        <v>0</v>
      </c>
      <c r="L217" s="8"/>
      <c r="M217" s="1"/>
      <c r="N217" s="1"/>
      <c r="O217" s="1"/>
      <c r="P217" s="1"/>
      <c r="Q217" s="1"/>
    </row>
    <row r="218" spans="1:17">
      <c r="A218" s="5">
        <v>829</v>
      </c>
      <c r="B218" s="34" t="s">
        <v>381</v>
      </c>
      <c r="C218" s="557">
        <v>1782</v>
      </c>
      <c r="D218" s="578"/>
      <c r="E218" s="546">
        <v>64</v>
      </c>
      <c r="F218" s="546">
        <v>465.3</v>
      </c>
      <c r="G218" s="551">
        <f t="shared" si="17"/>
        <v>581.625</v>
      </c>
      <c r="H218" s="550">
        <v>2195</v>
      </c>
      <c r="I218" s="162">
        <v>0</v>
      </c>
      <c r="J218" s="549">
        <v>0</v>
      </c>
      <c r="K218" s="549">
        <v>0</v>
      </c>
      <c r="L218" s="8"/>
      <c r="M218" s="1"/>
      <c r="N218" s="1"/>
      <c r="O218" s="1"/>
      <c r="P218" s="1"/>
      <c r="Q218" s="1"/>
    </row>
    <row r="219" spans="1:17">
      <c r="A219" s="5">
        <v>830</v>
      </c>
      <c r="B219" s="24" t="s">
        <v>382</v>
      </c>
      <c r="C219" s="549">
        <v>1740</v>
      </c>
      <c r="D219" s="577"/>
      <c r="E219" s="546">
        <v>70</v>
      </c>
      <c r="F219" s="546">
        <v>0</v>
      </c>
      <c r="G219" s="547">
        <f t="shared" ref="G219:G220" si="22">F219</f>
        <v>0</v>
      </c>
      <c r="H219" s="550">
        <v>1810</v>
      </c>
      <c r="I219" s="162">
        <v>0</v>
      </c>
      <c r="J219" s="549">
        <v>0</v>
      </c>
      <c r="K219" s="549">
        <v>0</v>
      </c>
      <c r="L219" s="8"/>
      <c r="M219" s="1"/>
      <c r="N219" s="1"/>
      <c r="O219" s="1"/>
      <c r="P219" s="1"/>
      <c r="Q219" s="1"/>
    </row>
    <row r="220" spans="1:17">
      <c r="A220" s="5">
        <v>831</v>
      </c>
      <c r="B220" s="24" t="s">
        <v>383</v>
      </c>
      <c r="C220" s="549">
        <v>971</v>
      </c>
      <c r="D220" s="577"/>
      <c r="E220" s="546">
        <v>414.7</v>
      </c>
      <c r="F220" s="546">
        <v>0</v>
      </c>
      <c r="G220" s="547">
        <f t="shared" si="22"/>
        <v>0</v>
      </c>
      <c r="H220" s="550">
        <v>1298</v>
      </c>
      <c r="I220" s="162">
        <v>0</v>
      </c>
      <c r="J220" s="549">
        <v>0</v>
      </c>
      <c r="K220" s="549">
        <v>0</v>
      </c>
      <c r="L220" s="8"/>
      <c r="M220" s="1"/>
      <c r="N220" s="1"/>
      <c r="O220" s="1"/>
      <c r="P220" s="1"/>
      <c r="Q220" s="1"/>
    </row>
    <row r="221" spans="1:17">
      <c r="A221" s="35">
        <v>832</v>
      </c>
      <c r="B221" s="34" t="s">
        <v>384</v>
      </c>
      <c r="C221" s="557">
        <v>1700</v>
      </c>
      <c r="D221" s="578"/>
      <c r="E221" s="546">
        <v>75</v>
      </c>
      <c r="F221" s="546">
        <v>310.7</v>
      </c>
      <c r="G221" s="551">
        <f t="shared" si="17"/>
        <v>388.375</v>
      </c>
      <c r="H221" s="550">
        <v>2008</v>
      </c>
      <c r="I221" s="162">
        <v>0</v>
      </c>
      <c r="J221" s="549">
        <v>0</v>
      </c>
      <c r="K221" s="549">
        <v>0</v>
      </c>
      <c r="L221" s="8"/>
      <c r="M221" s="1"/>
      <c r="N221" s="1"/>
      <c r="O221" s="1"/>
      <c r="P221" s="1"/>
      <c r="Q221" s="1"/>
    </row>
    <row r="222" spans="1:17">
      <c r="A222" s="5">
        <v>833</v>
      </c>
      <c r="B222" s="24" t="s">
        <v>385</v>
      </c>
      <c r="C222" s="549">
        <v>971</v>
      </c>
      <c r="D222" s="577"/>
      <c r="E222" s="546">
        <v>214</v>
      </c>
      <c r="F222" s="546">
        <v>0</v>
      </c>
      <c r="G222" s="547">
        <f t="shared" ref="G222:G228" si="23">F222</f>
        <v>0</v>
      </c>
      <c r="H222" s="550">
        <v>1298</v>
      </c>
      <c r="I222" s="162">
        <v>0</v>
      </c>
      <c r="J222" s="549">
        <v>0</v>
      </c>
      <c r="K222" s="549">
        <v>155</v>
      </c>
      <c r="L222" s="8"/>
      <c r="M222" s="1"/>
      <c r="N222" s="1"/>
      <c r="O222" s="1"/>
      <c r="P222" s="1"/>
      <c r="Q222" s="1"/>
    </row>
    <row r="223" spans="1:17">
      <c r="A223" s="5">
        <v>834</v>
      </c>
      <c r="B223" s="24" t="s">
        <v>386</v>
      </c>
      <c r="C223" s="549">
        <v>971</v>
      </c>
      <c r="D223" s="577"/>
      <c r="E223" s="546">
        <v>214</v>
      </c>
      <c r="F223" s="546">
        <v>0</v>
      </c>
      <c r="G223" s="547">
        <f t="shared" si="23"/>
        <v>0</v>
      </c>
      <c r="H223" s="550">
        <v>1298</v>
      </c>
      <c r="I223" s="162">
        <v>0</v>
      </c>
      <c r="J223" s="549">
        <v>0</v>
      </c>
      <c r="K223" s="549">
        <v>155</v>
      </c>
      <c r="L223" s="8"/>
      <c r="M223" s="1"/>
      <c r="N223" s="1"/>
      <c r="O223" s="1"/>
      <c r="P223" s="1"/>
      <c r="Q223" s="1"/>
    </row>
    <row r="224" spans="1:17">
      <c r="A224" s="5">
        <v>835</v>
      </c>
      <c r="B224" s="24" t="s">
        <v>387</v>
      </c>
      <c r="C224" s="549">
        <v>971</v>
      </c>
      <c r="D224" s="577"/>
      <c r="E224" s="546">
        <v>414.7</v>
      </c>
      <c r="F224" s="546">
        <v>0</v>
      </c>
      <c r="G224" s="547">
        <f t="shared" si="23"/>
        <v>0</v>
      </c>
      <c r="H224" s="550">
        <v>1298</v>
      </c>
      <c r="I224" s="162">
        <v>0</v>
      </c>
      <c r="J224" s="549">
        <v>0</v>
      </c>
      <c r="K224" s="549">
        <v>0</v>
      </c>
      <c r="L224" s="8"/>
      <c r="M224" s="1"/>
      <c r="N224" s="1"/>
      <c r="O224" s="1"/>
      <c r="P224" s="1"/>
      <c r="Q224" s="1"/>
    </row>
    <row r="225" spans="1:17">
      <c r="A225" s="5">
        <v>836</v>
      </c>
      <c r="B225" s="24" t="s">
        <v>388</v>
      </c>
      <c r="C225" s="549">
        <v>971</v>
      </c>
      <c r="D225" s="577"/>
      <c r="E225" s="546">
        <v>414.7</v>
      </c>
      <c r="F225" s="546">
        <v>0</v>
      </c>
      <c r="G225" s="547">
        <f t="shared" si="23"/>
        <v>0</v>
      </c>
      <c r="H225" s="550">
        <v>1298</v>
      </c>
      <c r="I225" s="162">
        <v>0</v>
      </c>
      <c r="J225" s="549">
        <v>0</v>
      </c>
      <c r="K225" s="549">
        <v>155</v>
      </c>
      <c r="L225" s="8"/>
      <c r="M225" s="1"/>
      <c r="N225" s="1"/>
      <c r="O225" s="1"/>
      <c r="P225" s="1"/>
      <c r="Q225" s="1"/>
    </row>
    <row r="226" spans="1:17">
      <c r="A226" s="5">
        <v>837</v>
      </c>
      <c r="B226" s="24" t="s">
        <v>389</v>
      </c>
      <c r="C226" s="549">
        <v>971</v>
      </c>
      <c r="D226" s="577"/>
      <c r="E226" s="546">
        <v>414.7</v>
      </c>
      <c r="F226" s="546">
        <v>0</v>
      </c>
      <c r="G226" s="547">
        <f t="shared" si="23"/>
        <v>0</v>
      </c>
      <c r="H226" s="550">
        <v>1298</v>
      </c>
      <c r="I226" s="162">
        <v>0</v>
      </c>
      <c r="J226" s="549">
        <v>0</v>
      </c>
      <c r="K226" s="549">
        <v>155</v>
      </c>
      <c r="L226" s="8"/>
      <c r="M226" s="1"/>
      <c r="N226" s="1"/>
      <c r="O226" s="1"/>
      <c r="P226" s="1"/>
      <c r="Q226" s="1"/>
    </row>
    <row r="227" spans="1:17">
      <c r="A227" s="5">
        <v>839</v>
      </c>
      <c r="B227" s="24" t="s">
        <v>390</v>
      </c>
      <c r="C227" s="549">
        <v>971</v>
      </c>
      <c r="D227" s="577"/>
      <c r="E227" s="546">
        <v>414.7</v>
      </c>
      <c r="F227" s="546">
        <v>0</v>
      </c>
      <c r="G227" s="547">
        <f t="shared" si="23"/>
        <v>0</v>
      </c>
      <c r="H227" s="550">
        <v>1298</v>
      </c>
      <c r="I227" s="162">
        <v>0</v>
      </c>
      <c r="J227" s="549">
        <v>0</v>
      </c>
      <c r="K227" s="549">
        <v>155</v>
      </c>
      <c r="L227" s="8"/>
      <c r="M227" s="1"/>
      <c r="N227" s="1"/>
      <c r="O227" s="1"/>
      <c r="P227" s="1"/>
      <c r="Q227" s="1"/>
    </row>
    <row r="228" spans="1:17">
      <c r="A228" s="5">
        <v>840</v>
      </c>
      <c r="B228" s="24" t="s">
        <v>391</v>
      </c>
      <c r="C228" s="549">
        <v>971</v>
      </c>
      <c r="D228" s="577"/>
      <c r="E228" s="546">
        <v>414.7</v>
      </c>
      <c r="F228" s="546">
        <v>0</v>
      </c>
      <c r="G228" s="547">
        <f t="shared" si="23"/>
        <v>0</v>
      </c>
      <c r="H228" s="550">
        <v>1298</v>
      </c>
      <c r="I228" s="162">
        <v>0</v>
      </c>
      <c r="J228" s="549">
        <v>0</v>
      </c>
      <c r="K228" s="549">
        <v>155</v>
      </c>
      <c r="L228" s="8"/>
      <c r="M228" s="1"/>
      <c r="N228" s="1"/>
      <c r="O228" s="1"/>
      <c r="P228" s="1"/>
      <c r="Q228" s="1"/>
    </row>
    <row r="229" spans="1:17">
      <c r="A229" s="35">
        <v>841</v>
      </c>
      <c r="B229" s="34" t="s">
        <v>392</v>
      </c>
      <c r="C229" s="557">
        <v>1300</v>
      </c>
      <c r="D229" s="578"/>
      <c r="E229" s="546">
        <v>127</v>
      </c>
      <c r="F229" s="546">
        <v>388</v>
      </c>
      <c r="G229" s="551">
        <f t="shared" si="17"/>
        <v>485</v>
      </c>
      <c r="H229" s="550">
        <v>1815</v>
      </c>
      <c r="I229" s="556">
        <v>0</v>
      </c>
      <c r="J229" s="557">
        <v>0</v>
      </c>
      <c r="K229" s="557">
        <v>0</v>
      </c>
      <c r="L229" s="36"/>
      <c r="M229" s="37"/>
      <c r="N229" s="37"/>
      <c r="O229" s="37"/>
      <c r="P229" s="37"/>
      <c r="Q229" s="37"/>
    </row>
    <row r="230" spans="1:17">
      <c r="A230" s="5">
        <v>842</v>
      </c>
      <c r="B230" s="24" t="s">
        <v>393</v>
      </c>
      <c r="C230" s="549">
        <v>1500</v>
      </c>
      <c r="D230" s="577">
        <v>744</v>
      </c>
      <c r="E230" s="546">
        <v>101</v>
      </c>
      <c r="F230" s="546">
        <v>388</v>
      </c>
      <c r="G230" s="551">
        <f t="shared" si="17"/>
        <v>485</v>
      </c>
      <c r="H230" s="550">
        <v>1989</v>
      </c>
      <c r="I230" s="162">
        <v>0</v>
      </c>
      <c r="J230" s="549">
        <v>0</v>
      </c>
      <c r="K230" s="549">
        <v>0</v>
      </c>
      <c r="L230" s="8"/>
      <c r="M230" s="1"/>
      <c r="N230" s="1"/>
      <c r="O230" s="1"/>
      <c r="P230" s="1"/>
      <c r="Q230" s="1"/>
    </row>
    <row r="231" spans="1:17">
      <c r="A231" s="5">
        <v>843</v>
      </c>
      <c r="B231" s="24" t="s">
        <v>394</v>
      </c>
      <c r="C231" s="549">
        <v>1250</v>
      </c>
      <c r="D231" s="577">
        <v>580</v>
      </c>
      <c r="E231" s="546">
        <v>134</v>
      </c>
      <c r="F231" s="546">
        <v>310.7</v>
      </c>
      <c r="G231" s="551">
        <f t="shared" si="17"/>
        <v>388.375</v>
      </c>
      <c r="H231" s="550">
        <v>1617</v>
      </c>
      <c r="I231" s="162">
        <v>0</v>
      </c>
      <c r="J231" s="549">
        <v>0</v>
      </c>
      <c r="K231" s="549">
        <v>0</v>
      </c>
      <c r="L231" s="8"/>
      <c r="M231" s="1"/>
      <c r="N231" s="1"/>
      <c r="O231" s="1"/>
      <c r="P231" s="1"/>
      <c r="Q231" s="1"/>
    </row>
    <row r="232" spans="1:17">
      <c r="A232" s="5">
        <v>844</v>
      </c>
      <c r="B232" s="24" t="s">
        <v>395</v>
      </c>
      <c r="C232" s="549">
        <v>1660</v>
      </c>
      <c r="D232" s="577"/>
      <c r="E232" s="546">
        <v>80</v>
      </c>
      <c r="F232" s="546">
        <v>0</v>
      </c>
      <c r="G232" s="547">
        <f t="shared" ref="G232:G233" si="24">F232</f>
        <v>0</v>
      </c>
      <c r="H232" s="550">
        <v>1740</v>
      </c>
      <c r="I232" s="162">
        <v>0</v>
      </c>
      <c r="J232" s="549">
        <v>0</v>
      </c>
      <c r="K232" s="549">
        <v>0</v>
      </c>
      <c r="L232" s="8"/>
      <c r="M232" s="1"/>
      <c r="N232" s="1"/>
      <c r="O232" s="1"/>
      <c r="P232" s="1"/>
      <c r="Q232" s="1"/>
    </row>
    <row r="233" spans="1:17">
      <c r="A233" s="5">
        <v>849</v>
      </c>
      <c r="B233" s="24" t="s">
        <v>396</v>
      </c>
      <c r="C233" s="549">
        <v>971</v>
      </c>
      <c r="D233" s="577"/>
      <c r="E233" s="546">
        <v>414.7</v>
      </c>
      <c r="F233" s="546">
        <v>0</v>
      </c>
      <c r="G233" s="547">
        <f t="shared" si="24"/>
        <v>0</v>
      </c>
      <c r="H233" s="550">
        <v>1298</v>
      </c>
      <c r="I233" s="162">
        <v>0</v>
      </c>
      <c r="J233" s="549">
        <v>0</v>
      </c>
      <c r="K233" s="549">
        <v>0</v>
      </c>
      <c r="L233" s="8"/>
      <c r="M233" s="1"/>
      <c r="N233" s="1"/>
      <c r="O233" s="1"/>
      <c r="P233" s="1"/>
      <c r="Q233" s="1"/>
    </row>
    <row r="234" spans="1:17">
      <c r="A234" s="5">
        <v>850</v>
      </c>
      <c r="B234" s="27" t="s">
        <v>397</v>
      </c>
      <c r="C234" s="549">
        <v>3146</v>
      </c>
      <c r="D234" s="577"/>
      <c r="E234" s="546">
        <v>0</v>
      </c>
      <c r="F234" s="546">
        <v>621.29999999999995</v>
      </c>
      <c r="G234" s="547">
        <f>F234</f>
        <v>621.29999999999995</v>
      </c>
      <c r="H234" s="550">
        <v>3612</v>
      </c>
      <c r="I234" s="162">
        <v>0</v>
      </c>
      <c r="J234" s="549">
        <v>0</v>
      </c>
      <c r="K234" s="195"/>
      <c r="L234" s="8"/>
      <c r="M234" s="1"/>
      <c r="N234" s="1"/>
      <c r="O234" s="1"/>
      <c r="P234" s="1"/>
      <c r="Q234" s="1"/>
    </row>
    <row r="235" spans="1:17">
      <c r="A235" s="5">
        <v>851</v>
      </c>
      <c r="B235" s="27" t="s">
        <v>398</v>
      </c>
      <c r="C235" s="549">
        <v>2913</v>
      </c>
      <c r="D235" s="577"/>
      <c r="E235" s="546">
        <v>0</v>
      </c>
      <c r="F235" s="546">
        <v>776</v>
      </c>
      <c r="G235" s="547">
        <f t="shared" ref="G235:G248" si="25">F235</f>
        <v>776</v>
      </c>
      <c r="H235" s="550">
        <v>3379</v>
      </c>
      <c r="I235" s="162">
        <v>20</v>
      </c>
      <c r="J235" s="549">
        <v>0</v>
      </c>
      <c r="K235" s="549">
        <v>0</v>
      </c>
      <c r="L235" s="8"/>
      <c r="M235" s="1"/>
      <c r="N235" s="1"/>
      <c r="O235" s="1"/>
      <c r="P235" s="1"/>
      <c r="Q235" s="1"/>
    </row>
    <row r="236" spans="1:17">
      <c r="A236" s="5">
        <v>852</v>
      </c>
      <c r="B236" s="27" t="s">
        <v>399</v>
      </c>
      <c r="C236" s="549">
        <v>2913</v>
      </c>
      <c r="D236" s="577"/>
      <c r="E236" s="546">
        <v>0</v>
      </c>
      <c r="F236" s="546">
        <v>776</v>
      </c>
      <c r="G236" s="547">
        <f t="shared" si="25"/>
        <v>776</v>
      </c>
      <c r="H236" s="550">
        <v>3379</v>
      </c>
      <c r="I236" s="162">
        <v>0</v>
      </c>
      <c r="J236" s="549">
        <v>0</v>
      </c>
      <c r="K236" s="549">
        <v>0</v>
      </c>
      <c r="L236" s="8"/>
      <c r="M236" s="1"/>
      <c r="N236" s="1"/>
      <c r="O236" s="1"/>
      <c r="P236" s="1"/>
      <c r="Q236" s="1"/>
    </row>
    <row r="237" spans="1:17">
      <c r="A237" s="5">
        <v>853</v>
      </c>
      <c r="B237" s="27" t="s">
        <v>400</v>
      </c>
      <c r="C237" s="549">
        <v>2913</v>
      </c>
      <c r="D237" s="577"/>
      <c r="E237" s="546">
        <v>0</v>
      </c>
      <c r="F237" s="546">
        <v>776</v>
      </c>
      <c r="G237" s="547">
        <f t="shared" si="25"/>
        <v>776</v>
      </c>
      <c r="H237" s="550">
        <v>3379</v>
      </c>
      <c r="I237" s="162">
        <v>17</v>
      </c>
      <c r="J237" s="549">
        <v>0</v>
      </c>
      <c r="K237" s="549">
        <v>0</v>
      </c>
      <c r="L237" s="8"/>
      <c r="M237" s="1"/>
      <c r="N237" s="1"/>
      <c r="O237" s="1"/>
      <c r="P237" s="1"/>
      <c r="Q237" s="1"/>
    </row>
    <row r="238" spans="1:17">
      <c r="A238" s="5">
        <v>854</v>
      </c>
      <c r="B238" s="27" t="s">
        <v>401</v>
      </c>
      <c r="C238" s="549">
        <v>2913</v>
      </c>
      <c r="D238" s="577"/>
      <c r="E238" s="546">
        <v>0</v>
      </c>
      <c r="F238" s="546">
        <v>776</v>
      </c>
      <c r="G238" s="547">
        <f t="shared" si="25"/>
        <v>776</v>
      </c>
      <c r="H238" s="550">
        <v>3379</v>
      </c>
      <c r="I238" s="162">
        <v>0</v>
      </c>
      <c r="J238" s="549">
        <v>0</v>
      </c>
      <c r="K238" s="549">
        <v>0</v>
      </c>
      <c r="L238" s="8"/>
      <c r="M238" s="1"/>
      <c r="N238" s="1"/>
      <c r="O238" s="1"/>
      <c r="P238" s="1"/>
      <c r="Q238" s="1"/>
    </row>
    <row r="239" spans="1:17">
      <c r="A239" s="5">
        <v>857</v>
      </c>
      <c r="B239" s="27" t="s">
        <v>402</v>
      </c>
      <c r="C239" s="549">
        <v>2913</v>
      </c>
      <c r="D239" s="577"/>
      <c r="E239" s="546">
        <v>0</v>
      </c>
      <c r="F239" s="546">
        <v>776</v>
      </c>
      <c r="G239" s="547">
        <f t="shared" si="25"/>
        <v>776</v>
      </c>
      <c r="H239" s="550">
        <v>3379</v>
      </c>
      <c r="I239" s="162">
        <v>0</v>
      </c>
      <c r="J239" s="549">
        <v>0</v>
      </c>
      <c r="K239" s="549">
        <v>0</v>
      </c>
      <c r="L239" s="8"/>
      <c r="M239" s="1"/>
      <c r="N239" s="1"/>
      <c r="O239" s="1"/>
      <c r="P239" s="1"/>
      <c r="Q239" s="1"/>
    </row>
    <row r="240" spans="1:17">
      <c r="A240" s="5">
        <v>883</v>
      </c>
      <c r="B240" s="27" t="s">
        <v>148</v>
      </c>
      <c r="C240" s="549">
        <v>2220</v>
      </c>
      <c r="D240" s="577"/>
      <c r="E240" s="546">
        <v>7</v>
      </c>
      <c r="F240" s="546">
        <v>521.4</v>
      </c>
      <c r="G240" s="547">
        <f t="shared" si="25"/>
        <v>521.4</v>
      </c>
      <c r="H240" s="550">
        <v>2748.4</v>
      </c>
      <c r="I240" s="162">
        <v>0</v>
      </c>
      <c r="J240" s="549">
        <v>0</v>
      </c>
      <c r="K240" s="549">
        <v>0</v>
      </c>
      <c r="L240" s="1"/>
      <c r="M240" s="1"/>
      <c r="N240" s="1"/>
      <c r="O240" s="1"/>
      <c r="P240" s="1"/>
      <c r="Q240" s="1"/>
    </row>
    <row r="241" spans="1:17">
      <c r="A241" s="5">
        <v>885</v>
      </c>
      <c r="B241" s="27" t="s">
        <v>403</v>
      </c>
      <c r="C241" s="549">
        <v>1850</v>
      </c>
      <c r="D241" s="577"/>
      <c r="E241" s="546">
        <v>55</v>
      </c>
      <c r="F241" s="546">
        <v>434.5</v>
      </c>
      <c r="G241" s="547">
        <f t="shared" si="25"/>
        <v>434.5</v>
      </c>
      <c r="H241" s="550">
        <v>2339.5</v>
      </c>
      <c r="I241" s="162">
        <v>0</v>
      </c>
      <c r="J241" s="549">
        <v>0</v>
      </c>
      <c r="K241" s="195"/>
      <c r="L241" s="1"/>
      <c r="M241" s="1"/>
      <c r="N241" s="1"/>
      <c r="O241" s="1"/>
      <c r="P241" s="1"/>
      <c r="Q241" s="1"/>
    </row>
    <row r="242" spans="1:17">
      <c r="A242" s="5">
        <v>887</v>
      </c>
      <c r="B242" s="27" t="s">
        <v>149</v>
      </c>
      <c r="C242" s="549">
        <v>1580</v>
      </c>
      <c r="D242" s="577"/>
      <c r="E242" s="546">
        <v>90</v>
      </c>
      <c r="F242" s="546">
        <v>347.6</v>
      </c>
      <c r="G242" s="547">
        <f t="shared" si="25"/>
        <v>347.6</v>
      </c>
      <c r="H242" s="550">
        <v>2017.6</v>
      </c>
      <c r="I242" s="162">
        <v>0</v>
      </c>
      <c r="J242" s="549">
        <v>0</v>
      </c>
      <c r="K242" s="549">
        <v>0</v>
      </c>
      <c r="L242" s="1"/>
      <c r="M242" s="1"/>
      <c r="N242" s="1"/>
      <c r="O242" s="1"/>
      <c r="P242" s="1"/>
      <c r="Q242" s="1"/>
    </row>
    <row r="243" spans="1:17">
      <c r="A243" s="5">
        <v>900</v>
      </c>
      <c r="B243" s="24" t="s">
        <v>404</v>
      </c>
      <c r="C243" s="549">
        <v>3146</v>
      </c>
      <c r="D243" s="577"/>
      <c r="E243" s="546">
        <v>0</v>
      </c>
      <c r="F243" s="546">
        <v>0</v>
      </c>
      <c r="G243" s="547">
        <f t="shared" si="25"/>
        <v>0</v>
      </c>
      <c r="H243" s="550">
        <v>3146</v>
      </c>
      <c r="I243" s="162">
        <v>0</v>
      </c>
      <c r="J243" s="549">
        <v>0</v>
      </c>
      <c r="K243" s="549">
        <v>0</v>
      </c>
      <c r="L243" s="38"/>
      <c r="M243" s="1"/>
      <c r="N243" s="1"/>
      <c r="O243" s="1"/>
      <c r="P243" s="1"/>
      <c r="Q243" s="1"/>
    </row>
    <row r="244" spans="1:17">
      <c r="A244" s="5">
        <v>901</v>
      </c>
      <c r="B244" s="24" t="s">
        <v>405</v>
      </c>
      <c r="C244" s="549">
        <v>2913</v>
      </c>
      <c r="D244" s="577"/>
      <c r="E244" s="546">
        <v>0</v>
      </c>
      <c r="F244" s="546">
        <v>0</v>
      </c>
      <c r="G244" s="547">
        <f t="shared" si="25"/>
        <v>0</v>
      </c>
      <c r="H244" s="550">
        <v>2913</v>
      </c>
      <c r="I244" s="162">
        <v>0</v>
      </c>
      <c r="J244" s="549">
        <v>0</v>
      </c>
      <c r="K244" s="549">
        <v>0</v>
      </c>
      <c r="L244" s="8"/>
      <c r="M244" s="1"/>
      <c r="N244" s="1"/>
      <c r="O244" s="1"/>
      <c r="P244" s="1"/>
      <c r="Q244" s="1"/>
    </row>
    <row r="245" spans="1:17">
      <c r="A245" s="5">
        <v>902</v>
      </c>
      <c r="B245" s="24" t="s">
        <v>406</v>
      </c>
      <c r="C245" s="549">
        <v>2913</v>
      </c>
      <c r="D245" s="577"/>
      <c r="E245" s="546">
        <v>0</v>
      </c>
      <c r="F245" s="546">
        <v>776</v>
      </c>
      <c r="G245" s="547">
        <f t="shared" si="25"/>
        <v>776</v>
      </c>
      <c r="H245" s="550">
        <v>3379</v>
      </c>
      <c r="I245" s="162">
        <v>20</v>
      </c>
      <c r="J245" s="549">
        <v>0</v>
      </c>
      <c r="K245" s="549">
        <v>0</v>
      </c>
      <c r="L245" s="8"/>
      <c r="M245" s="1"/>
      <c r="N245" s="1"/>
      <c r="O245" s="1"/>
      <c r="P245" s="1"/>
      <c r="Q245" s="1"/>
    </row>
    <row r="246" spans="1:17">
      <c r="A246" s="5">
        <v>903</v>
      </c>
      <c r="B246" s="24" t="s">
        <v>407</v>
      </c>
      <c r="C246" s="549">
        <v>2913</v>
      </c>
      <c r="D246" s="577"/>
      <c r="E246" s="546">
        <v>0</v>
      </c>
      <c r="F246" s="546">
        <v>776</v>
      </c>
      <c r="G246" s="547">
        <f t="shared" si="25"/>
        <v>776</v>
      </c>
      <c r="H246" s="550">
        <v>3379</v>
      </c>
      <c r="I246" s="162">
        <v>0</v>
      </c>
      <c r="J246" s="549">
        <v>0</v>
      </c>
      <c r="K246" s="549">
        <v>0</v>
      </c>
      <c r="L246" s="8"/>
      <c r="M246" s="1"/>
      <c r="N246" s="1"/>
      <c r="O246" s="1"/>
      <c r="P246" s="1"/>
      <c r="Q246" s="1"/>
    </row>
    <row r="247" spans="1:17">
      <c r="A247" s="5">
        <v>904</v>
      </c>
      <c r="B247" s="24" t="s">
        <v>408</v>
      </c>
      <c r="C247" s="549">
        <v>2100</v>
      </c>
      <c r="D247" s="577"/>
      <c r="E247" s="546">
        <v>23</v>
      </c>
      <c r="F247" s="546">
        <v>0</v>
      </c>
      <c r="G247" s="547">
        <f t="shared" si="25"/>
        <v>0</v>
      </c>
      <c r="H247" s="550">
        <v>2123</v>
      </c>
      <c r="I247" s="162">
        <v>0</v>
      </c>
      <c r="J247" s="549">
        <v>0</v>
      </c>
      <c r="K247" s="549">
        <v>0</v>
      </c>
      <c r="L247" s="8"/>
      <c r="M247" s="1"/>
      <c r="N247" s="1"/>
      <c r="O247" s="1"/>
      <c r="P247" s="1"/>
      <c r="Q247" s="1"/>
    </row>
    <row r="248" spans="1:17">
      <c r="A248" s="5">
        <v>905</v>
      </c>
      <c r="B248" s="24" t="s">
        <v>409</v>
      </c>
      <c r="C248" s="549">
        <v>1800</v>
      </c>
      <c r="D248" s="577"/>
      <c r="E248" s="546">
        <v>62</v>
      </c>
      <c r="F248" s="546">
        <v>0</v>
      </c>
      <c r="G248" s="547">
        <f t="shared" si="25"/>
        <v>0</v>
      </c>
      <c r="H248" s="550">
        <v>1862</v>
      </c>
      <c r="I248" s="162">
        <v>0</v>
      </c>
      <c r="J248" s="549">
        <v>0</v>
      </c>
      <c r="K248" s="549">
        <v>0</v>
      </c>
      <c r="L248" s="8"/>
      <c r="M248" s="1"/>
      <c r="N248" s="1"/>
      <c r="O248" s="1"/>
      <c r="P248" s="1"/>
      <c r="Q248" s="1"/>
    </row>
    <row r="249" spans="1:17">
      <c r="A249" s="5">
        <v>906</v>
      </c>
      <c r="B249" s="24" t="s">
        <v>410</v>
      </c>
      <c r="C249" s="549">
        <v>1942</v>
      </c>
      <c r="D249" s="577"/>
      <c r="E249" s="546">
        <v>43</v>
      </c>
      <c r="F249" s="546">
        <v>517.29999999999995</v>
      </c>
      <c r="G249" s="551">
        <f t="shared" ref="G249:G272" si="26">F249*1.25</f>
        <v>646.625</v>
      </c>
      <c r="H249" s="550">
        <v>2373</v>
      </c>
      <c r="I249" s="162">
        <v>0</v>
      </c>
      <c r="J249" s="549">
        <v>0</v>
      </c>
      <c r="K249" s="549">
        <v>0</v>
      </c>
      <c r="L249" s="9">
        <v>782</v>
      </c>
      <c r="M249" s="1"/>
      <c r="N249" s="1"/>
      <c r="O249" s="1"/>
      <c r="P249" s="1"/>
      <c r="Q249" s="1"/>
    </row>
    <row r="250" spans="1:17">
      <c r="A250" s="5">
        <v>907</v>
      </c>
      <c r="B250" s="24" t="s">
        <v>411</v>
      </c>
      <c r="C250" s="549">
        <v>1782</v>
      </c>
      <c r="D250" s="577"/>
      <c r="E250" s="546">
        <v>64</v>
      </c>
      <c r="F250" s="546">
        <v>465.3</v>
      </c>
      <c r="G250" s="551">
        <f t="shared" si="26"/>
        <v>581.625</v>
      </c>
      <c r="H250" s="550">
        <v>2195</v>
      </c>
      <c r="I250" s="162">
        <v>0</v>
      </c>
      <c r="J250" s="549">
        <v>0</v>
      </c>
      <c r="K250" s="549">
        <v>0</v>
      </c>
      <c r="L250" s="9">
        <v>782</v>
      </c>
      <c r="M250" s="1"/>
      <c r="N250" s="1"/>
      <c r="O250" s="1"/>
      <c r="P250" s="1"/>
      <c r="Q250" s="1"/>
    </row>
    <row r="251" spans="1:17">
      <c r="A251" s="5">
        <v>908</v>
      </c>
      <c r="B251" s="24" t="s">
        <v>412</v>
      </c>
      <c r="C251" s="549">
        <v>1692</v>
      </c>
      <c r="D251" s="577"/>
      <c r="E251" s="546">
        <v>76</v>
      </c>
      <c r="F251" s="546">
        <v>362.7</v>
      </c>
      <c r="G251" s="551">
        <f t="shared" si="26"/>
        <v>453.375</v>
      </c>
      <c r="H251" s="550">
        <v>2040</v>
      </c>
      <c r="I251" s="162">
        <v>0</v>
      </c>
      <c r="J251" s="549">
        <v>0</v>
      </c>
      <c r="K251" s="549">
        <v>0</v>
      </c>
      <c r="L251" s="8"/>
      <c r="M251" s="1"/>
      <c r="N251" s="1"/>
      <c r="O251" s="1"/>
      <c r="P251" s="1"/>
      <c r="Q251" s="1"/>
    </row>
    <row r="252" spans="1:17">
      <c r="A252" s="5">
        <v>909</v>
      </c>
      <c r="B252" s="24" t="s">
        <v>413</v>
      </c>
      <c r="C252" s="549">
        <v>1592</v>
      </c>
      <c r="D252" s="577"/>
      <c r="E252" s="546">
        <v>89</v>
      </c>
      <c r="F252" s="546">
        <v>465.3</v>
      </c>
      <c r="G252" s="551">
        <f t="shared" si="26"/>
        <v>581.625</v>
      </c>
      <c r="H252" s="550">
        <v>2030</v>
      </c>
      <c r="I252" s="162">
        <v>0</v>
      </c>
      <c r="J252" s="549">
        <v>0</v>
      </c>
      <c r="K252" s="549">
        <v>0</v>
      </c>
      <c r="L252" s="8"/>
      <c r="M252" s="1"/>
      <c r="N252" s="1"/>
      <c r="O252" s="1"/>
      <c r="P252" s="1"/>
      <c r="Q252" s="1"/>
    </row>
    <row r="253" spans="1:17">
      <c r="A253" s="5">
        <v>910</v>
      </c>
      <c r="B253" s="24" t="s">
        <v>282</v>
      </c>
      <c r="C253" s="549">
        <v>1942</v>
      </c>
      <c r="D253" s="577"/>
      <c r="E253" s="546">
        <v>43</v>
      </c>
      <c r="F253" s="546">
        <v>517.29999999999995</v>
      </c>
      <c r="G253" s="551">
        <f t="shared" si="26"/>
        <v>646.625</v>
      </c>
      <c r="H253" s="550">
        <v>2373</v>
      </c>
      <c r="I253" s="162">
        <v>150</v>
      </c>
      <c r="J253" s="549">
        <v>0</v>
      </c>
      <c r="K253" s="549">
        <v>0</v>
      </c>
      <c r="L253" s="8"/>
      <c r="M253" s="1"/>
      <c r="N253" s="1"/>
      <c r="O253" s="1"/>
      <c r="P253" s="1"/>
      <c r="Q253" s="1"/>
    </row>
    <row r="254" spans="1:17">
      <c r="A254" s="5">
        <v>911</v>
      </c>
      <c r="B254" s="24" t="s">
        <v>292</v>
      </c>
      <c r="C254" s="549">
        <v>1592</v>
      </c>
      <c r="D254" s="577"/>
      <c r="E254" s="546">
        <v>89</v>
      </c>
      <c r="F254" s="546">
        <v>466.7</v>
      </c>
      <c r="G254" s="551">
        <f t="shared" si="26"/>
        <v>583.375</v>
      </c>
      <c r="H254" s="550">
        <v>2031</v>
      </c>
      <c r="I254" s="162">
        <v>0</v>
      </c>
      <c r="J254" s="549">
        <v>0</v>
      </c>
      <c r="K254" s="549">
        <v>0</v>
      </c>
      <c r="L254" s="8"/>
      <c r="M254" s="1"/>
      <c r="N254" s="1"/>
      <c r="O254" s="1"/>
      <c r="P254" s="1"/>
      <c r="Q254" s="1"/>
    </row>
    <row r="255" spans="1:17">
      <c r="A255" s="5">
        <v>912</v>
      </c>
      <c r="B255" s="24" t="s">
        <v>414</v>
      </c>
      <c r="C255" s="549">
        <v>1782</v>
      </c>
      <c r="D255" s="577"/>
      <c r="E255" s="546">
        <v>64</v>
      </c>
      <c r="F255" s="546">
        <v>465.3</v>
      </c>
      <c r="G255" s="551">
        <f t="shared" si="26"/>
        <v>581.625</v>
      </c>
      <c r="H255" s="550">
        <v>2195</v>
      </c>
      <c r="I255" s="162">
        <v>17</v>
      </c>
      <c r="J255" s="549">
        <v>0</v>
      </c>
      <c r="K255" s="549">
        <v>0</v>
      </c>
      <c r="L255" s="8"/>
      <c r="M255" s="1"/>
      <c r="N255" s="1"/>
      <c r="O255" s="1"/>
      <c r="P255" s="1"/>
      <c r="Q255" s="1"/>
    </row>
    <row r="256" spans="1:17">
      <c r="A256" s="5">
        <v>913</v>
      </c>
      <c r="B256" s="24" t="s">
        <v>415</v>
      </c>
      <c r="C256" s="549">
        <v>1700</v>
      </c>
      <c r="D256" s="577"/>
      <c r="E256" s="546">
        <v>75</v>
      </c>
      <c r="F256" s="546">
        <v>413.3</v>
      </c>
      <c r="G256" s="551">
        <f t="shared" si="26"/>
        <v>516.625</v>
      </c>
      <c r="H256" s="550">
        <v>2085</v>
      </c>
      <c r="I256" s="162">
        <v>0</v>
      </c>
      <c r="J256" s="549">
        <v>0</v>
      </c>
      <c r="K256" s="549">
        <v>0</v>
      </c>
      <c r="L256" s="9">
        <v>769</v>
      </c>
      <c r="M256" s="1"/>
      <c r="N256" s="1"/>
      <c r="O256" s="1"/>
      <c r="P256" s="1"/>
      <c r="Q256" s="1"/>
    </row>
    <row r="257" spans="1:17">
      <c r="A257" s="5">
        <v>914</v>
      </c>
      <c r="B257" s="24" t="s">
        <v>416</v>
      </c>
      <c r="C257" s="549">
        <v>1600</v>
      </c>
      <c r="D257" s="577"/>
      <c r="E257" s="546">
        <v>88</v>
      </c>
      <c r="F257" s="546">
        <v>309.3</v>
      </c>
      <c r="G257" s="551">
        <f t="shared" si="26"/>
        <v>386.625</v>
      </c>
      <c r="H257" s="550">
        <v>1920</v>
      </c>
      <c r="I257" s="162">
        <v>0</v>
      </c>
      <c r="J257" s="549">
        <v>0</v>
      </c>
      <c r="K257" s="549">
        <v>0</v>
      </c>
      <c r="L257" s="9">
        <v>738</v>
      </c>
      <c r="M257" s="1"/>
      <c r="N257" s="1"/>
      <c r="O257" s="1"/>
      <c r="P257" s="1"/>
      <c r="Q257" s="1"/>
    </row>
    <row r="258" spans="1:17">
      <c r="A258" s="5">
        <v>915</v>
      </c>
      <c r="B258" s="24" t="s">
        <v>417</v>
      </c>
      <c r="C258" s="549">
        <v>1700</v>
      </c>
      <c r="D258" s="577"/>
      <c r="E258" s="546">
        <v>75</v>
      </c>
      <c r="F258" s="546">
        <v>310.7</v>
      </c>
      <c r="G258" s="551">
        <f t="shared" si="26"/>
        <v>388.375</v>
      </c>
      <c r="H258" s="550">
        <v>2008</v>
      </c>
      <c r="I258" s="162">
        <v>150</v>
      </c>
      <c r="J258" s="549">
        <v>0</v>
      </c>
      <c r="K258" s="549">
        <v>0</v>
      </c>
      <c r="L258" s="8"/>
      <c r="M258" s="1"/>
      <c r="N258" s="1"/>
      <c r="O258" s="1"/>
      <c r="P258" s="1"/>
      <c r="Q258" s="1"/>
    </row>
    <row r="259" spans="1:17">
      <c r="A259" s="5">
        <v>916</v>
      </c>
      <c r="B259" s="24" t="s">
        <v>418</v>
      </c>
      <c r="C259" s="549">
        <v>1300</v>
      </c>
      <c r="D259" s="577"/>
      <c r="E259" s="546">
        <v>127</v>
      </c>
      <c r="F259" s="546">
        <v>310.7</v>
      </c>
      <c r="G259" s="551">
        <f t="shared" si="26"/>
        <v>388.375</v>
      </c>
      <c r="H259" s="550">
        <v>1660</v>
      </c>
      <c r="I259" s="162">
        <v>0</v>
      </c>
      <c r="J259" s="549">
        <v>0</v>
      </c>
      <c r="K259" s="549">
        <v>0</v>
      </c>
      <c r="L259" s="8"/>
      <c r="M259" s="1"/>
      <c r="N259" s="1"/>
      <c r="O259" s="1"/>
      <c r="P259" s="1"/>
      <c r="Q259" s="1"/>
    </row>
    <row r="260" spans="1:17">
      <c r="A260" s="5">
        <v>917</v>
      </c>
      <c r="B260" s="24" t="s">
        <v>419</v>
      </c>
      <c r="C260" s="549">
        <v>971</v>
      </c>
      <c r="D260" s="577"/>
      <c r="E260" s="546">
        <v>414.7</v>
      </c>
      <c r="F260" s="546">
        <v>0</v>
      </c>
      <c r="G260" s="547">
        <f t="shared" ref="G260:G271" si="27">F260</f>
        <v>0</v>
      </c>
      <c r="H260" s="550">
        <v>1298</v>
      </c>
      <c r="I260" s="162">
        <v>0</v>
      </c>
      <c r="J260" s="549">
        <v>0</v>
      </c>
      <c r="K260" s="549">
        <v>0</v>
      </c>
      <c r="L260" s="8"/>
      <c r="M260" s="1"/>
      <c r="N260" s="1"/>
      <c r="O260" s="1"/>
      <c r="P260" s="1"/>
      <c r="Q260" s="1"/>
    </row>
    <row r="261" spans="1:17">
      <c r="A261" s="5">
        <v>918</v>
      </c>
      <c r="B261" s="24" t="s">
        <v>300</v>
      </c>
      <c r="C261" s="549">
        <v>971</v>
      </c>
      <c r="D261" s="577"/>
      <c r="E261" s="546">
        <v>414.7</v>
      </c>
      <c r="F261" s="546">
        <v>0</v>
      </c>
      <c r="G261" s="547">
        <f t="shared" si="27"/>
        <v>0</v>
      </c>
      <c r="H261" s="550">
        <v>1298</v>
      </c>
      <c r="I261" s="162">
        <v>150</v>
      </c>
      <c r="J261" s="549">
        <v>0</v>
      </c>
      <c r="K261" s="549">
        <v>0</v>
      </c>
      <c r="L261" s="8"/>
      <c r="M261" s="1"/>
      <c r="N261" s="1"/>
      <c r="O261" s="1"/>
      <c r="P261" s="1"/>
      <c r="Q261" s="1"/>
    </row>
    <row r="262" spans="1:17">
      <c r="A262" s="5">
        <v>919</v>
      </c>
      <c r="B262" s="24" t="s">
        <v>420</v>
      </c>
      <c r="C262" s="549">
        <v>971</v>
      </c>
      <c r="D262" s="577"/>
      <c r="E262" s="546">
        <v>414.7</v>
      </c>
      <c r="F262" s="546">
        <v>0</v>
      </c>
      <c r="G262" s="547">
        <f t="shared" si="27"/>
        <v>0</v>
      </c>
      <c r="H262" s="550">
        <v>1298</v>
      </c>
      <c r="I262" s="162">
        <v>17</v>
      </c>
      <c r="J262" s="549">
        <v>0</v>
      </c>
      <c r="K262" s="549">
        <v>0</v>
      </c>
      <c r="L262" s="8"/>
      <c r="M262" s="1"/>
      <c r="N262" s="1"/>
      <c r="O262" s="1"/>
      <c r="P262" s="1"/>
      <c r="Q262" s="1"/>
    </row>
    <row r="263" spans="1:17">
      <c r="A263" s="5">
        <v>920</v>
      </c>
      <c r="B263" s="24" t="s">
        <v>421</v>
      </c>
      <c r="C263" s="549">
        <v>971</v>
      </c>
      <c r="D263" s="577"/>
      <c r="E263" s="546">
        <v>414.7</v>
      </c>
      <c r="F263" s="546">
        <v>0</v>
      </c>
      <c r="G263" s="547">
        <f t="shared" si="27"/>
        <v>0</v>
      </c>
      <c r="H263" s="550">
        <v>1298</v>
      </c>
      <c r="I263" s="162">
        <v>150</v>
      </c>
      <c r="J263" s="549">
        <v>0</v>
      </c>
      <c r="K263" s="549">
        <v>0</v>
      </c>
      <c r="L263" s="8"/>
      <c r="M263" s="1"/>
      <c r="N263" s="1"/>
      <c r="O263" s="1"/>
      <c r="P263" s="1"/>
      <c r="Q263" s="1"/>
    </row>
    <row r="264" spans="1:17">
      <c r="A264" s="5">
        <v>921</v>
      </c>
      <c r="B264" s="24" t="s">
        <v>422</v>
      </c>
      <c r="C264" s="549">
        <v>971</v>
      </c>
      <c r="D264" s="577"/>
      <c r="E264" s="546">
        <v>414.7</v>
      </c>
      <c r="F264" s="546">
        <v>0</v>
      </c>
      <c r="G264" s="547">
        <f t="shared" si="27"/>
        <v>0</v>
      </c>
      <c r="H264" s="550">
        <v>1298</v>
      </c>
      <c r="I264" s="162">
        <v>0</v>
      </c>
      <c r="J264" s="549">
        <v>0</v>
      </c>
      <c r="K264" s="549">
        <v>0</v>
      </c>
      <c r="L264" s="8"/>
      <c r="M264" s="1"/>
      <c r="N264" s="1"/>
      <c r="O264" s="1"/>
      <c r="P264" s="1"/>
      <c r="Q264" s="1"/>
    </row>
    <row r="265" spans="1:17">
      <c r="A265" s="5">
        <v>922</v>
      </c>
      <c r="B265" s="24" t="s">
        <v>423</v>
      </c>
      <c r="C265" s="549">
        <v>971</v>
      </c>
      <c r="D265" s="577"/>
      <c r="E265" s="546">
        <v>414.7</v>
      </c>
      <c r="F265" s="546">
        <v>0</v>
      </c>
      <c r="G265" s="547">
        <f t="shared" si="27"/>
        <v>0</v>
      </c>
      <c r="H265" s="550">
        <v>1298</v>
      </c>
      <c r="I265" s="162">
        <v>0</v>
      </c>
      <c r="J265" s="549">
        <v>0</v>
      </c>
      <c r="K265" s="549">
        <v>0</v>
      </c>
      <c r="L265" s="8"/>
      <c r="M265" s="1"/>
      <c r="N265" s="1"/>
      <c r="O265" s="1"/>
      <c r="P265" s="1"/>
      <c r="Q265" s="1"/>
    </row>
    <row r="266" spans="1:17">
      <c r="A266" s="5">
        <v>923</v>
      </c>
      <c r="B266" s="24" t="s">
        <v>424</v>
      </c>
      <c r="C266" s="549">
        <v>971</v>
      </c>
      <c r="D266" s="577"/>
      <c r="E266" s="546">
        <v>414.7</v>
      </c>
      <c r="F266" s="546">
        <v>0</v>
      </c>
      <c r="G266" s="547">
        <f t="shared" si="27"/>
        <v>0</v>
      </c>
      <c r="H266" s="550">
        <v>1298</v>
      </c>
      <c r="I266" s="162">
        <v>0</v>
      </c>
      <c r="J266" s="549">
        <v>0</v>
      </c>
      <c r="K266" s="549">
        <v>0</v>
      </c>
      <c r="L266" s="8"/>
      <c r="M266" s="1"/>
      <c r="N266" s="1"/>
      <c r="O266" s="1"/>
      <c r="P266" s="1"/>
      <c r="Q266" s="1"/>
    </row>
    <row r="267" spans="1:17">
      <c r="A267" s="5">
        <v>924</v>
      </c>
      <c r="B267" s="24" t="s">
        <v>425</v>
      </c>
      <c r="C267" s="549">
        <v>971</v>
      </c>
      <c r="D267" s="577"/>
      <c r="E267" s="546">
        <v>414.7</v>
      </c>
      <c r="F267" s="546">
        <v>0</v>
      </c>
      <c r="G267" s="547">
        <f t="shared" si="27"/>
        <v>0</v>
      </c>
      <c r="H267" s="550">
        <v>1298</v>
      </c>
      <c r="I267" s="162">
        <v>150</v>
      </c>
      <c r="J267" s="549">
        <v>0</v>
      </c>
      <c r="K267" s="549">
        <v>0</v>
      </c>
      <c r="L267" s="8"/>
      <c r="M267" s="1"/>
      <c r="N267" s="1"/>
      <c r="O267" s="1"/>
      <c r="P267" s="1"/>
      <c r="Q267" s="1"/>
    </row>
    <row r="268" spans="1:17">
      <c r="A268" s="5">
        <v>925</v>
      </c>
      <c r="B268" s="24" t="s">
        <v>200</v>
      </c>
      <c r="C268" s="549">
        <v>971</v>
      </c>
      <c r="D268" s="577"/>
      <c r="E268" s="546">
        <v>414.7</v>
      </c>
      <c r="F268" s="546">
        <v>0</v>
      </c>
      <c r="G268" s="547">
        <f t="shared" si="27"/>
        <v>0</v>
      </c>
      <c r="H268" s="550">
        <v>1298</v>
      </c>
      <c r="I268" s="162">
        <v>0</v>
      </c>
      <c r="J268" s="549">
        <v>0</v>
      </c>
      <c r="K268" s="549">
        <v>0</v>
      </c>
      <c r="L268" s="8"/>
      <c r="M268" s="1"/>
      <c r="N268" s="1"/>
      <c r="O268" s="1"/>
      <c r="P268" s="1"/>
      <c r="Q268" s="1"/>
    </row>
    <row r="269" spans="1:17">
      <c r="A269" s="5">
        <v>926</v>
      </c>
      <c r="B269" s="24" t="s">
        <v>324</v>
      </c>
      <c r="C269" s="549">
        <v>1500</v>
      </c>
      <c r="D269" s="577"/>
      <c r="E269" s="546">
        <v>101</v>
      </c>
      <c r="F269" s="546">
        <v>0</v>
      </c>
      <c r="G269" s="547">
        <f t="shared" si="27"/>
        <v>0</v>
      </c>
      <c r="H269" s="550">
        <v>1601</v>
      </c>
      <c r="I269" s="162">
        <v>150</v>
      </c>
      <c r="J269" s="549">
        <v>0</v>
      </c>
      <c r="K269" s="549">
        <v>0</v>
      </c>
      <c r="L269" s="8"/>
      <c r="M269" s="1"/>
      <c r="N269" s="1"/>
      <c r="O269" s="1"/>
      <c r="P269" s="1"/>
      <c r="Q269" s="1"/>
    </row>
    <row r="270" spans="1:17">
      <c r="A270" s="5">
        <v>928</v>
      </c>
      <c r="B270" s="24" t="s">
        <v>295</v>
      </c>
      <c r="C270" s="549">
        <v>1500</v>
      </c>
      <c r="D270" s="577"/>
      <c r="E270" s="546">
        <v>101</v>
      </c>
      <c r="F270" s="546">
        <v>0</v>
      </c>
      <c r="G270" s="547">
        <f t="shared" si="27"/>
        <v>0</v>
      </c>
      <c r="H270" s="550">
        <v>1601</v>
      </c>
      <c r="I270" s="162">
        <v>150</v>
      </c>
      <c r="J270" s="549">
        <v>0</v>
      </c>
      <c r="K270" s="549">
        <v>0</v>
      </c>
      <c r="L270" s="8"/>
      <c r="M270" s="1"/>
      <c r="N270" s="1"/>
      <c r="O270" s="1"/>
      <c r="P270" s="1"/>
      <c r="Q270" s="1"/>
    </row>
    <row r="271" spans="1:17">
      <c r="A271" s="5">
        <v>929</v>
      </c>
      <c r="B271" s="24" t="s">
        <v>426</v>
      </c>
      <c r="C271" s="549">
        <v>971</v>
      </c>
      <c r="D271" s="577"/>
      <c r="E271" s="546">
        <v>414.7</v>
      </c>
      <c r="F271" s="546">
        <v>0</v>
      </c>
      <c r="G271" s="547">
        <f t="shared" si="27"/>
        <v>0</v>
      </c>
      <c r="H271" s="550">
        <v>1298</v>
      </c>
      <c r="I271" s="162">
        <v>150</v>
      </c>
      <c r="J271" s="549">
        <v>0</v>
      </c>
      <c r="K271" s="549">
        <v>0</v>
      </c>
      <c r="L271" s="8"/>
      <c r="M271" s="1"/>
      <c r="N271" s="1"/>
      <c r="O271" s="1"/>
      <c r="P271" s="1"/>
      <c r="Q271" s="1"/>
    </row>
    <row r="272" spans="1:17">
      <c r="A272" s="5">
        <v>930</v>
      </c>
      <c r="B272" s="24" t="s">
        <v>427</v>
      </c>
      <c r="C272" s="549">
        <v>1592</v>
      </c>
      <c r="D272" s="577"/>
      <c r="E272" s="546">
        <v>89</v>
      </c>
      <c r="F272" s="546">
        <v>310.7</v>
      </c>
      <c r="G272" s="551">
        <f t="shared" si="26"/>
        <v>388.375</v>
      </c>
      <c r="H272" s="550">
        <v>1914</v>
      </c>
      <c r="I272" s="162">
        <v>0</v>
      </c>
      <c r="J272" s="549">
        <v>0</v>
      </c>
      <c r="K272" s="549">
        <v>0</v>
      </c>
      <c r="L272" s="8"/>
      <c r="M272" s="1"/>
      <c r="N272" s="1"/>
      <c r="O272" s="1"/>
      <c r="P272" s="1"/>
      <c r="Q272" s="1"/>
    </row>
    <row r="273" spans="1:17">
      <c r="A273" s="5">
        <v>931</v>
      </c>
      <c r="B273" s="24" t="s">
        <v>428</v>
      </c>
      <c r="C273" s="549">
        <v>971</v>
      </c>
      <c r="D273" s="577"/>
      <c r="E273" s="546">
        <v>414.7</v>
      </c>
      <c r="F273" s="546">
        <v>0</v>
      </c>
      <c r="G273" s="547">
        <f t="shared" ref="G273:G283" si="28">F273</f>
        <v>0</v>
      </c>
      <c r="H273" s="550">
        <v>1298</v>
      </c>
      <c r="I273" s="162">
        <v>0</v>
      </c>
      <c r="J273" s="549">
        <v>0</v>
      </c>
      <c r="K273" s="549">
        <v>0</v>
      </c>
      <c r="L273" s="8"/>
      <c r="M273" s="1"/>
      <c r="N273" s="1"/>
      <c r="O273" s="1"/>
      <c r="P273" s="1"/>
      <c r="Q273" s="1"/>
    </row>
    <row r="274" spans="1:17">
      <c r="A274" s="5">
        <v>932</v>
      </c>
      <c r="B274" s="24" t="s">
        <v>148</v>
      </c>
      <c r="C274" s="549">
        <v>2220</v>
      </c>
      <c r="D274" s="577"/>
      <c r="E274" s="546">
        <v>7</v>
      </c>
      <c r="F274" s="546">
        <v>521.4</v>
      </c>
      <c r="G274" s="547">
        <f t="shared" si="28"/>
        <v>521.4</v>
      </c>
      <c r="H274" s="550">
        <v>2748.4</v>
      </c>
      <c r="I274" s="162">
        <v>0</v>
      </c>
      <c r="J274" s="549">
        <v>0</v>
      </c>
      <c r="K274" s="549">
        <v>0</v>
      </c>
      <c r="L274" s="8"/>
      <c r="M274" s="1"/>
      <c r="N274" s="1"/>
      <c r="O274" s="1"/>
      <c r="P274" s="1"/>
      <c r="Q274" s="1"/>
    </row>
    <row r="275" spans="1:17">
      <c r="A275" s="6">
        <v>933</v>
      </c>
      <c r="B275" s="39" t="s">
        <v>149</v>
      </c>
      <c r="C275" s="558">
        <v>1580</v>
      </c>
      <c r="D275" s="577"/>
      <c r="E275" s="546">
        <v>90</v>
      </c>
      <c r="F275" s="546">
        <v>347.6</v>
      </c>
      <c r="G275" s="547">
        <f t="shared" si="28"/>
        <v>347.6</v>
      </c>
      <c r="H275" s="550">
        <v>2017.6</v>
      </c>
      <c r="I275" s="163">
        <v>0</v>
      </c>
      <c r="J275" s="558">
        <v>0</v>
      </c>
      <c r="K275" s="558">
        <v>0</v>
      </c>
      <c r="L275" s="8"/>
      <c r="M275" s="1"/>
      <c r="N275" s="1"/>
      <c r="O275" s="1"/>
      <c r="P275" s="1"/>
      <c r="Q275" s="1"/>
    </row>
    <row r="276" spans="1:17">
      <c r="A276" s="5">
        <v>934</v>
      </c>
      <c r="B276" s="24" t="s">
        <v>429</v>
      </c>
      <c r="C276" s="549">
        <v>922</v>
      </c>
      <c r="D276" s="577"/>
      <c r="E276" s="546">
        <v>414.7</v>
      </c>
      <c r="F276" s="546">
        <v>0</v>
      </c>
      <c r="G276" s="547">
        <f t="shared" si="28"/>
        <v>0</v>
      </c>
      <c r="H276" s="550">
        <v>1249</v>
      </c>
      <c r="I276" s="162">
        <v>0</v>
      </c>
      <c r="J276" s="549">
        <v>0</v>
      </c>
      <c r="K276" s="549">
        <v>0</v>
      </c>
      <c r="L276" s="8"/>
      <c r="M276" s="1"/>
      <c r="N276" s="1"/>
      <c r="O276" s="1"/>
      <c r="P276" s="1"/>
      <c r="Q276" s="1"/>
    </row>
    <row r="277" spans="1:17">
      <c r="A277" s="5">
        <v>935</v>
      </c>
      <c r="B277" s="24" t="s">
        <v>430</v>
      </c>
      <c r="C277" s="549">
        <v>971</v>
      </c>
      <c r="D277" s="577"/>
      <c r="E277" s="546">
        <v>414.7</v>
      </c>
      <c r="F277" s="546">
        <v>0</v>
      </c>
      <c r="G277" s="547">
        <f t="shared" si="28"/>
        <v>0</v>
      </c>
      <c r="H277" s="550">
        <v>1298</v>
      </c>
      <c r="I277" s="162">
        <v>0</v>
      </c>
      <c r="J277" s="549">
        <v>0</v>
      </c>
      <c r="K277" s="549">
        <v>0</v>
      </c>
      <c r="L277" s="8"/>
      <c r="M277" s="1"/>
      <c r="N277" s="1"/>
      <c r="O277" s="1"/>
      <c r="P277" s="1"/>
      <c r="Q277" s="1"/>
    </row>
    <row r="278" spans="1:17">
      <c r="A278" s="5">
        <v>936</v>
      </c>
      <c r="B278" s="24" t="s">
        <v>431</v>
      </c>
      <c r="C278" s="549">
        <v>1250</v>
      </c>
      <c r="D278" s="577"/>
      <c r="E278" s="546">
        <v>134</v>
      </c>
      <c r="F278" s="546">
        <v>0</v>
      </c>
      <c r="G278" s="547">
        <f t="shared" si="28"/>
        <v>0</v>
      </c>
      <c r="H278" s="550">
        <v>1384</v>
      </c>
      <c r="I278" s="162">
        <v>0</v>
      </c>
      <c r="J278" s="549">
        <v>0</v>
      </c>
      <c r="K278" s="549">
        <v>0</v>
      </c>
      <c r="L278" s="8"/>
      <c r="M278" s="1"/>
      <c r="N278" s="1"/>
      <c r="O278" s="1"/>
      <c r="P278" s="1"/>
      <c r="Q278" s="1"/>
    </row>
    <row r="279" spans="1:17">
      <c r="A279" s="32">
        <v>937</v>
      </c>
      <c r="B279" s="33" t="s">
        <v>432</v>
      </c>
      <c r="C279" s="555">
        <v>971</v>
      </c>
      <c r="D279" s="579"/>
      <c r="E279" s="546">
        <v>414.7</v>
      </c>
      <c r="F279" s="546">
        <v>0</v>
      </c>
      <c r="G279" s="547">
        <f t="shared" si="28"/>
        <v>0</v>
      </c>
      <c r="H279" s="550">
        <v>1298</v>
      </c>
      <c r="I279" s="554">
        <v>0</v>
      </c>
      <c r="J279" s="555">
        <v>0</v>
      </c>
      <c r="K279" s="555">
        <v>0</v>
      </c>
      <c r="L279" s="8"/>
      <c r="M279" s="1"/>
      <c r="N279" s="1"/>
      <c r="O279" s="1"/>
      <c r="P279" s="1"/>
      <c r="Q279" s="1"/>
    </row>
    <row r="280" spans="1:17">
      <c r="A280" s="5">
        <v>940</v>
      </c>
      <c r="B280" s="24" t="s">
        <v>433</v>
      </c>
      <c r="C280" s="549">
        <v>1692</v>
      </c>
      <c r="D280" s="577"/>
      <c r="E280" s="546">
        <v>76</v>
      </c>
      <c r="F280" s="546">
        <v>362.7</v>
      </c>
      <c r="G280" s="547">
        <f t="shared" si="28"/>
        <v>362.7</v>
      </c>
      <c r="H280" s="550">
        <v>2040</v>
      </c>
      <c r="I280" s="162">
        <v>0</v>
      </c>
      <c r="J280" s="549">
        <v>0</v>
      </c>
      <c r="K280" s="549">
        <v>0</v>
      </c>
      <c r="L280" s="8"/>
      <c r="M280" s="1"/>
      <c r="N280" s="1"/>
      <c r="O280" s="1"/>
      <c r="P280" s="1"/>
      <c r="Q280" s="1"/>
    </row>
    <row r="281" spans="1:17">
      <c r="A281" s="5">
        <v>941</v>
      </c>
      <c r="B281" s="24" t="s">
        <v>434</v>
      </c>
      <c r="C281" s="549">
        <v>1942</v>
      </c>
      <c r="D281" s="577"/>
      <c r="E281" s="546">
        <v>43</v>
      </c>
      <c r="F281" s="546">
        <v>517.29999999999995</v>
      </c>
      <c r="G281" s="547">
        <f t="shared" si="28"/>
        <v>517.29999999999995</v>
      </c>
      <c r="H281" s="550">
        <v>2373</v>
      </c>
      <c r="I281" s="162">
        <v>0</v>
      </c>
      <c r="J281" s="549">
        <v>0</v>
      </c>
      <c r="K281" s="549">
        <v>0</v>
      </c>
      <c r="L281" s="8"/>
      <c r="M281" s="1"/>
      <c r="N281" s="1"/>
      <c r="O281" s="1"/>
      <c r="P281" s="1"/>
      <c r="Q281" s="1"/>
    </row>
    <row r="282" spans="1:17">
      <c r="A282" s="5">
        <v>942</v>
      </c>
      <c r="B282" s="24" t="s">
        <v>435</v>
      </c>
      <c r="C282" s="549">
        <v>1782</v>
      </c>
      <c r="D282" s="577"/>
      <c r="E282" s="546">
        <v>64</v>
      </c>
      <c r="F282" s="546">
        <v>465.3</v>
      </c>
      <c r="G282" s="547">
        <f t="shared" si="28"/>
        <v>465.3</v>
      </c>
      <c r="H282" s="550">
        <v>2195</v>
      </c>
      <c r="I282" s="162">
        <v>0</v>
      </c>
      <c r="J282" s="549">
        <v>0</v>
      </c>
      <c r="K282" s="549">
        <v>0</v>
      </c>
      <c r="L282" s="8"/>
      <c r="M282" s="1"/>
      <c r="N282" s="1"/>
      <c r="O282" s="1"/>
      <c r="P282" s="1"/>
      <c r="Q282" s="1"/>
    </row>
    <row r="283" spans="1:17">
      <c r="A283" s="5">
        <v>943</v>
      </c>
      <c r="B283" s="24" t="s">
        <v>323</v>
      </c>
      <c r="C283" s="549">
        <v>1500</v>
      </c>
      <c r="D283" s="577"/>
      <c r="E283" s="546">
        <v>101</v>
      </c>
      <c r="F283" s="546">
        <v>0</v>
      </c>
      <c r="G283" s="547">
        <f t="shared" si="28"/>
        <v>0</v>
      </c>
      <c r="H283" s="550">
        <v>1601</v>
      </c>
      <c r="I283" s="162">
        <v>150</v>
      </c>
      <c r="J283" s="549">
        <v>0</v>
      </c>
      <c r="K283" s="549">
        <v>0</v>
      </c>
      <c r="L283" s="8"/>
      <c r="M283" s="1"/>
      <c r="N283" s="1"/>
      <c r="O283" s="1"/>
      <c r="P283" s="1"/>
      <c r="Q283" s="1"/>
    </row>
    <row r="284" spans="1:17">
      <c r="A284" s="5">
        <v>944</v>
      </c>
      <c r="B284" s="24" t="s">
        <v>436</v>
      </c>
      <c r="C284" s="549">
        <v>1400</v>
      </c>
      <c r="D284" s="577"/>
      <c r="E284" s="546">
        <v>114</v>
      </c>
      <c r="F284" s="546">
        <v>310.7</v>
      </c>
      <c r="G284" s="551">
        <f t="shared" ref="G284:G298" si="29">F284*1.25</f>
        <v>388.375</v>
      </c>
      <c r="H284" s="550">
        <v>1747</v>
      </c>
      <c r="I284" s="162">
        <v>0</v>
      </c>
      <c r="J284" s="549">
        <v>0</v>
      </c>
      <c r="K284" s="549">
        <v>0</v>
      </c>
      <c r="L284" s="8"/>
      <c r="M284" s="1"/>
      <c r="N284" s="1"/>
      <c r="O284" s="1"/>
      <c r="P284" s="1"/>
      <c r="Q284" s="1"/>
    </row>
    <row r="285" spans="1:17">
      <c r="A285" s="5">
        <v>945</v>
      </c>
      <c r="B285" s="24" t="s">
        <v>437</v>
      </c>
      <c r="C285" s="549">
        <v>1782</v>
      </c>
      <c r="D285" s="577"/>
      <c r="E285" s="546">
        <v>64</v>
      </c>
      <c r="F285" s="546">
        <v>310.7</v>
      </c>
      <c r="G285" s="551">
        <f t="shared" si="29"/>
        <v>388.375</v>
      </c>
      <c r="H285" s="550">
        <v>2079</v>
      </c>
      <c r="I285" s="162">
        <v>0</v>
      </c>
      <c r="J285" s="549">
        <v>0</v>
      </c>
      <c r="K285" s="549">
        <v>669</v>
      </c>
      <c r="L285" s="8"/>
      <c r="M285" s="1"/>
      <c r="N285" s="1"/>
      <c r="O285" s="1"/>
      <c r="P285" s="1"/>
      <c r="Q285" s="1"/>
    </row>
    <row r="286" spans="1:17">
      <c r="A286" s="5">
        <v>946</v>
      </c>
      <c r="B286" s="24" t="s">
        <v>365</v>
      </c>
      <c r="C286" s="549">
        <v>971</v>
      </c>
      <c r="D286" s="577"/>
      <c r="E286" s="546">
        <v>214</v>
      </c>
      <c r="F286" s="546">
        <v>0</v>
      </c>
      <c r="G286" s="547">
        <f t="shared" ref="G286:G287" si="30">F286</f>
        <v>0</v>
      </c>
      <c r="H286" s="550">
        <v>1185</v>
      </c>
      <c r="I286" s="162">
        <v>0</v>
      </c>
      <c r="J286" s="549">
        <v>0</v>
      </c>
      <c r="K286" s="549">
        <v>620</v>
      </c>
      <c r="L286" s="8"/>
      <c r="M286" s="1"/>
      <c r="N286" s="1"/>
      <c r="O286" s="1"/>
      <c r="P286" s="1"/>
      <c r="Q286" s="1"/>
    </row>
    <row r="287" spans="1:17">
      <c r="A287" s="5">
        <v>947</v>
      </c>
      <c r="B287" s="24" t="s">
        <v>438</v>
      </c>
      <c r="C287" s="549">
        <v>971</v>
      </c>
      <c r="D287" s="577"/>
      <c r="E287" s="546">
        <v>414.7</v>
      </c>
      <c r="F287" s="546">
        <v>0</v>
      </c>
      <c r="G287" s="547">
        <f t="shared" si="30"/>
        <v>0</v>
      </c>
      <c r="H287" s="550">
        <v>1298</v>
      </c>
      <c r="I287" s="162">
        <v>0</v>
      </c>
      <c r="J287" s="549">
        <v>0</v>
      </c>
      <c r="K287" s="549">
        <v>155</v>
      </c>
      <c r="L287" s="8"/>
      <c r="M287" s="1"/>
      <c r="N287" s="1"/>
      <c r="O287" s="1"/>
      <c r="P287" s="1"/>
      <c r="Q287" s="1"/>
    </row>
    <row r="288" spans="1:17">
      <c r="A288" s="5">
        <v>948</v>
      </c>
      <c r="B288" s="27" t="s">
        <v>439</v>
      </c>
      <c r="C288" s="549">
        <v>1300</v>
      </c>
      <c r="D288" s="577"/>
      <c r="E288" s="546">
        <v>127</v>
      </c>
      <c r="F288" s="546">
        <v>310.7</v>
      </c>
      <c r="G288" s="551">
        <f t="shared" si="29"/>
        <v>388.375</v>
      </c>
      <c r="H288" s="550">
        <v>1660</v>
      </c>
      <c r="I288" s="162">
        <v>0</v>
      </c>
      <c r="J288" s="549">
        <v>0</v>
      </c>
      <c r="K288" s="549">
        <v>657</v>
      </c>
      <c r="L288" s="8"/>
      <c r="M288" s="1"/>
      <c r="N288" s="1"/>
      <c r="O288" s="1"/>
      <c r="P288" s="1"/>
      <c r="Q288" s="1"/>
    </row>
    <row r="289" spans="1:17">
      <c r="A289" s="5">
        <v>951</v>
      </c>
      <c r="B289" s="24" t="s">
        <v>440</v>
      </c>
      <c r="C289" s="549">
        <v>1500</v>
      </c>
      <c r="D289" s="577"/>
      <c r="E289" s="546">
        <v>101</v>
      </c>
      <c r="F289" s="546">
        <v>0</v>
      </c>
      <c r="G289" s="547">
        <f t="shared" ref="G289:G291" si="31">F289</f>
        <v>0</v>
      </c>
      <c r="H289" s="550">
        <v>1601</v>
      </c>
      <c r="I289" s="162">
        <v>150</v>
      </c>
      <c r="J289" s="549">
        <v>0</v>
      </c>
      <c r="K289" s="549">
        <v>0</v>
      </c>
      <c r="L289" s="8"/>
      <c r="M289" s="1"/>
      <c r="N289" s="1"/>
      <c r="O289" s="1"/>
      <c r="P289" s="1"/>
      <c r="Q289" s="1"/>
    </row>
    <row r="290" spans="1:17">
      <c r="A290" s="5">
        <v>952</v>
      </c>
      <c r="B290" s="24" t="s">
        <v>441</v>
      </c>
      <c r="C290" s="549">
        <v>971</v>
      </c>
      <c r="D290" s="577"/>
      <c r="E290" s="546">
        <v>414.7</v>
      </c>
      <c r="F290" s="546">
        <v>0</v>
      </c>
      <c r="G290" s="547">
        <f t="shared" si="31"/>
        <v>0</v>
      </c>
      <c r="H290" s="550">
        <v>1298</v>
      </c>
      <c r="I290" s="162">
        <v>0</v>
      </c>
      <c r="J290" s="549">
        <v>0</v>
      </c>
      <c r="K290" s="549">
        <v>155</v>
      </c>
      <c r="L290" s="8"/>
      <c r="M290" s="1"/>
      <c r="N290" s="1"/>
      <c r="O290" s="1"/>
      <c r="P290" s="1"/>
      <c r="Q290" s="1"/>
    </row>
    <row r="291" spans="1:17">
      <c r="A291" s="5">
        <v>953</v>
      </c>
      <c r="B291" s="24" t="s">
        <v>442</v>
      </c>
      <c r="C291" s="549">
        <v>971</v>
      </c>
      <c r="D291" s="577"/>
      <c r="E291" s="546">
        <v>414.7</v>
      </c>
      <c r="F291" s="546">
        <v>0</v>
      </c>
      <c r="G291" s="547">
        <f t="shared" si="31"/>
        <v>0</v>
      </c>
      <c r="H291" s="550">
        <v>1298</v>
      </c>
      <c r="I291" s="162">
        <v>0</v>
      </c>
      <c r="J291" s="549">
        <v>0</v>
      </c>
      <c r="K291" s="549">
        <v>155</v>
      </c>
      <c r="L291" s="8"/>
      <c r="M291" s="1"/>
      <c r="N291" s="1"/>
      <c r="O291" s="1"/>
      <c r="P291" s="1"/>
      <c r="Q291" s="1"/>
    </row>
    <row r="292" spans="1:17">
      <c r="A292" s="5">
        <v>954</v>
      </c>
      <c r="B292" s="24" t="s">
        <v>443</v>
      </c>
      <c r="C292" s="549">
        <v>1600</v>
      </c>
      <c r="D292" s="577"/>
      <c r="E292" s="546">
        <v>88</v>
      </c>
      <c r="F292" s="546">
        <v>310.7</v>
      </c>
      <c r="G292" s="551">
        <f t="shared" si="29"/>
        <v>388.375</v>
      </c>
      <c r="H292" s="550">
        <v>1921</v>
      </c>
      <c r="I292" s="162">
        <v>0</v>
      </c>
      <c r="J292" s="549">
        <v>0</v>
      </c>
      <c r="K292" s="549">
        <v>657</v>
      </c>
      <c r="L292" s="8"/>
      <c r="M292" s="1"/>
      <c r="N292" s="1"/>
      <c r="O292" s="1"/>
      <c r="P292" s="1"/>
      <c r="Q292" s="1"/>
    </row>
    <row r="293" spans="1:17">
      <c r="A293" s="5">
        <v>955</v>
      </c>
      <c r="B293" s="24" t="s">
        <v>346</v>
      </c>
      <c r="C293" s="549">
        <v>971</v>
      </c>
      <c r="D293" s="577"/>
      <c r="E293" s="546">
        <v>414.7</v>
      </c>
      <c r="F293" s="546">
        <v>0</v>
      </c>
      <c r="G293" s="547">
        <f>F293</f>
        <v>0</v>
      </c>
      <c r="H293" s="550">
        <v>1298</v>
      </c>
      <c r="I293" s="162">
        <v>0</v>
      </c>
      <c r="J293" s="549">
        <v>0</v>
      </c>
      <c r="K293" s="549">
        <v>0</v>
      </c>
      <c r="L293" s="8"/>
      <c r="M293" s="1"/>
      <c r="N293" s="1"/>
      <c r="O293" s="1"/>
      <c r="P293" s="1"/>
      <c r="Q293" s="1"/>
    </row>
    <row r="294" spans="1:17">
      <c r="A294" s="5">
        <v>956</v>
      </c>
      <c r="B294" s="24" t="s">
        <v>444</v>
      </c>
      <c r="C294" s="549">
        <v>1692</v>
      </c>
      <c r="D294" s="577"/>
      <c r="E294" s="546">
        <v>76</v>
      </c>
      <c r="F294" s="546">
        <v>362.7</v>
      </c>
      <c r="G294" s="551">
        <f t="shared" si="29"/>
        <v>453.375</v>
      </c>
      <c r="H294" s="550">
        <v>2040</v>
      </c>
      <c r="I294" s="162">
        <v>0</v>
      </c>
      <c r="J294" s="549">
        <v>0</v>
      </c>
      <c r="K294" s="549">
        <v>663</v>
      </c>
      <c r="L294" s="8"/>
      <c r="M294" s="1"/>
      <c r="N294" s="1"/>
      <c r="O294" s="1"/>
      <c r="P294" s="1"/>
      <c r="Q294" s="1"/>
    </row>
    <row r="295" spans="1:17">
      <c r="A295" s="5">
        <v>957</v>
      </c>
      <c r="B295" s="24" t="s">
        <v>445</v>
      </c>
      <c r="C295" s="549">
        <v>1700</v>
      </c>
      <c r="D295" s="577"/>
      <c r="E295" s="546">
        <v>75</v>
      </c>
      <c r="F295" s="546">
        <v>413.3</v>
      </c>
      <c r="G295" s="551">
        <f t="shared" si="29"/>
        <v>516.625</v>
      </c>
      <c r="H295" s="550">
        <v>2085</v>
      </c>
      <c r="I295" s="162">
        <v>0</v>
      </c>
      <c r="J295" s="549">
        <v>0</v>
      </c>
      <c r="K295" s="549">
        <v>0</v>
      </c>
      <c r="L295" s="8"/>
      <c r="M295" s="1"/>
      <c r="N295" s="1"/>
      <c r="O295" s="1"/>
      <c r="P295" s="1"/>
      <c r="Q295" s="1"/>
    </row>
    <row r="296" spans="1:17">
      <c r="A296" s="5">
        <v>958</v>
      </c>
      <c r="B296" s="24" t="s">
        <v>446</v>
      </c>
      <c r="C296" s="549">
        <v>2913</v>
      </c>
      <c r="D296" s="577"/>
      <c r="E296" s="546">
        <v>0</v>
      </c>
      <c r="F296" s="546">
        <v>0</v>
      </c>
      <c r="G296" s="551">
        <f t="shared" si="29"/>
        <v>0</v>
      </c>
      <c r="H296" s="550">
        <v>2913</v>
      </c>
      <c r="I296" s="162">
        <v>0</v>
      </c>
      <c r="J296" s="549">
        <v>0</v>
      </c>
      <c r="K296" s="549">
        <v>0</v>
      </c>
      <c r="L296" s="8"/>
      <c r="M296" s="1"/>
      <c r="N296" s="1"/>
      <c r="O296" s="1"/>
      <c r="P296" s="1"/>
      <c r="Q296" s="1"/>
    </row>
    <row r="297" spans="1:17">
      <c r="A297" s="5">
        <v>959</v>
      </c>
      <c r="B297" s="24" t="s">
        <v>447</v>
      </c>
      <c r="C297" s="549">
        <v>1942</v>
      </c>
      <c r="D297" s="577"/>
      <c r="E297" s="546">
        <v>43</v>
      </c>
      <c r="F297" s="546">
        <v>388</v>
      </c>
      <c r="G297" s="551">
        <f t="shared" si="29"/>
        <v>485</v>
      </c>
      <c r="H297" s="550">
        <v>2373</v>
      </c>
      <c r="I297" s="162">
        <v>0</v>
      </c>
      <c r="J297" s="549">
        <v>0</v>
      </c>
      <c r="K297" s="549">
        <v>0</v>
      </c>
      <c r="L297" s="8"/>
      <c r="M297" s="1"/>
      <c r="N297" s="1"/>
      <c r="O297" s="1"/>
      <c r="P297" s="1"/>
      <c r="Q297" s="1"/>
    </row>
    <row r="298" spans="1:17">
      <c r="A298" s="5">
        <v>960</v>
      </c>
      <c r="B298" s="24" t="s">
        <v>448</v>
      </c>
      <c r="C298" s="549">
        <v>1600</v>
      </c>
      <c r="D298" s="577"/>
      <c r="E298" s="546">
        <v>68</v>
      </c>
      <c r="F298" s="546">
        <v>233</v>
      </c>
      <c r="G298" s="551">
        <f t="shared" si="29"/>
        <v>291.25</v>
      </c>
      <c r="H298" s="550">
        <v>1901</v>
      </c>
      <c r="I298" s="162">
        <v>0</v>
      </c>
      <c r="J298" s="549">
        <v>0</v>
      </c>
      <c r="K298" s="549">
        <v>0</v>
      </c>
      <c r="L298" s="8"/>
      <c r="M298" s="1"/>
      <c r="N298" s="1"/>
      <c r="O298" s="1"/>
      <c r="P298" s="1"/>
      <c r="Q298" s="1"/>
    </row>
    <row r="299" spans="1:17">
      <c r="A299" s="5">
        <v>961</v>
      </c>
      <c r="B299" s="24" t="s">
        <v>449</v>
      </c>
      <c r="C299" s="549">
        <v>1580</v>
      </c>
      <c r="D299" s="577"/>
      <c r="E299" s="546">
        <v>90</v>
      </c>
      <c r="F299" s="546">
        <v>347.6</v>
      </c>
      <c r="G299" s="547">
        <f t="shared" ref="G299:G304" si="32">F299</f>
        <v>347.6</v>
      </c>
      <c r="H299" s="550">
        <v>2017.6</v>
      </c>
      <c r="I299" s="162">
        <v>0</v>
      </c>
      <c r="J299" s="549">
        <v>0</v>
      </c>
      <c r="K299" s="549">
        <v>0</v>
      </c>
      <c r="L299" s="8"/>
      <c r="M299" s="1"/>
      <c r="N299" s="1"/>
      <c r="O299" s="1"/>
      <c r="P299" s="1"/>
      <c r="Q299" s="1"/>
    </row>
    <row r="300" spans="1:17">
      <c r="A300" s="5">
        <v>962</v>
      </c>
      <c r="B300" s="24" t="s">
        <v>450</v>
      </c>
      <c r="C300" s="549">
        <v>1580</v>
      </c>
      <c r="D300" s="577"/>
      <c r="E300" s="546">
        <v>90</v>
      </c>
      <c r="F300" s="546">
        <v>0</v>
      </c>
      <c r="G300" s="547">
        <f t="shared" si="32"/>
        <v>0</v>
      </c>
      <c r="H300" s="550">
        <v>1670</v>
      </c>
      <c r="I300" s="162">
        <v>0</v>
      </c>
      <c r="J300" s="549">
        <v>0</v>
      </c>
      <c r="K300" s="549">
        <v>0</v>
      </c>
      <c r="L300" s="8"/>
      <c r="M300" s="1"/>
      <c r="N300" s="1"/>
      <c r="O300" s="1"/>
      <c r="P300" s="1"/>
      <c r="Q300" s="1"/>
    </row>
    <row r="301" spans="1:17">
      <c r="A301" s="5">
        <v>963</v>
      </c>
      <c r="B301" s="24" t="s">
        <v>451</v>
      </c>
      <c r="C301" s="549">
        <v>951</v>
      </c>
      <c r="D301" s="577"/>
      <c r="E301" s="546">
        <v>414.7</v>
      </c>
      <c r="F301" s="546">
        <v>0</v>
      </c>
      <c r="G301" s="547">
        <f t="shared" si="32"/>
        <v>0</v>
      </c>
      <c r="H301" s="550">
        <v>1278</v>
      </c>
      <c r="I301" s="162">
        <v>0</v>
      </c>
      <c r="J301" s="549">
        <v>0</v>
      </c>
      <c r="K301" s="549">
        <v>0</v>
      </c>
      <c r="L301" s="8"/>
      <c r="M301" s="1"/>
      <c r="N301" s="1"/>
      <c r="O301" s="1"/>
      <c r="P301" s="1"/>
      <c r="Q301" s="1"/>
    </row>
    <row r="302" spans="1:17">
      <c r="A302" s="5">
        <v>965</v>
      </c>
      <c r="B302" s="24" t="s">
        <v>452</v>
      </c>
      <c r="C302" s="549">
        <v>2913</v>
      </c>
      <c r="D302" s="577"/>
      <c r="E302" s="546">
        <v>0</v>
      </c>
      <c r="F302" s="546">
        <v>0</v>
      </c>
      <c r="G302" s="547">
        <f t="shared" si="32"/>
        <v>0</v>
      </c>
      <c r="H302" s="550">
        <v>2913</v>
      </c>
      <c r="I302" s="162">
        <v>0</v>
      </c>
      <c r="J302" s="549">
        <v>0</v>
      </c>
      <c r="K302" s="549">
        <v>0</v>
      </c>
      <c r="L302" s="8"/>
      <c r="M302" s="1"/>
      <c r="N302" s="1"/>
      <c r="O302" s="1"/>
      <c r="P302" s="1"/>
      <c r="Q302" s="1"/>
    </row>
    <row r="303" spans="1:17">
      <c r="A303" s="5">
        <v>966</v>
      </c>
      <c r="B303" s="24" t="s">
        <v>453</v>
      </c>
      <c r="C303" s="549">
        <v>1850</v>
      </c>
      <c r="D303" s="577"/>
      <c r="E303" s="546">
        <v>55</v>
      </c>
      <c r="F303" s="546">
        <v>434.5</v>
      </c>
      <c r="G303" s="547">
        <f t="shared" si="32"/>
        <v>434.5</v>
      </c>
      <c r="H303" s="550">
        <v>2339.5</v>
      </c>
      <c r="I303" s="162">
        <v>0</v>
      </c>
      <c r="J303" s="549">
        <v>0</v>
      </c>
      <c r="K303" s="549">
        <v>0</v>
      </c>
      <c r="L303" s="8"/>
      <c r="M303" s="1"/>
      <c r="N303" s="1"/>
      <c r="O303" s="1"/>
      <c r="P303" s="1"/>
      <c r="Q303" s="1"/>
    </row>
    <row r="304" spans="1:17">
      <c r="A304" s="5">
        <v>967</v>
      </c>
      <c r="B304" s="24" t="s">
        <v>454</v>
      </c>
      <c r="C304" s="549">
        <v>1564</v>
      </c>
      <c r="D304" s="577"/>
      <c r="E304" s="546">
        <v>93</v>
      </c>
      <c r="F304" s="546">
        <v>0</v>
      </c>
      <c r="G304" s="547">
        <f t="shared" si="32"/>
        <v>0</v>
      </c>
      <c r="H304" s="550">
        <v>1657</v>
      </c>
      <c r="I304" s="162">
        <v>0</v>
      </c>
      <c r="J304" s="549">
        <v>0</v>
      </c>
      <c r="K304" s="549">
        <v>0</v>
      </c>
      <c r="L304" s="8"/>
      <c r="M304" s="1"/>
      <c r="N304" s="1"/>
      <c r="O304" s="1"/>
      <c r="P304" s="1"/>
      <c r="Q304" s="1"/>
    </row>
    <row r="305" spans="1:17">
      <c r="A305" s="5">
        <v>968</v>
      </c>
      <c r="B305" s="24" t="s">
        <v>393</v>
      </c>
      <c r="C305" s="549">
        <v>1500</v>
      </c>
      <c r="D305" s="577"/>
      <c r="E305" s="546">
        <v>101</v>
      </c>
      <c r="F305" s="546">
        <v>517.29999999999995</v>
      </c>
      <c r="G305" s="551">
        <f t="shared" ref="G305" si="33">F305*1.25</f>
        <v>646.625</v>
      </c>
      <c r="H305" s="550">
        <v>1989</v>
      </c>
      <c r="I305" s="162">
        <v>0</v>
      </c>
      <c r="J305" s="549">
        <v>0</v>
      </c>
      <c r="K305" s="549">
        <v>0</v>
      </c>
      <c r="L305" s="8"/>
      <c r="M305" s="1"/>
      <c r="N305" s="1"/>
      <c r="O305" s="1"/>
      <c r="P305" s="1"/>
      <c r="Q305" s="1"/>
    </row>
    <row r="306" spans="1:17">
      <c r="A306" s="5">
        <v>969</v>
      </c>
      <c r="B306" s="24" t="s">
        <v>455</v>
      </c>
      <c r="C306" s="549">
        <v>971</v>
      </c>
      <c r="D306" s="577"/>
      <c r="E306" s="546">
        <v>414.7</v>
      </c>
      <c r="F306" s="546">
        <v>0</v>
      </c>
      <c r="G306" s="547">
        <f t="shared" ref="G306:G307" si="34">F306</f>
        <v>0</v>
      </c>
      <c r="H306" s="550">
        <v>1298</v>
      </c>
      <c r="I306" s="162">
        <v>150</v>
      </c>
      <c r="J306" s="549">
        <v>0</v>
      </c>
      <c r="K306" s="549">
        <v>0</v>
      </c>
      <c r="L306" s="8"/>
      <c r="M306" s="1"/>
      <c r="N306" s="1"/>
      <c r="O306" s="1"/>
      <c r="P306" s="1"/>
      <c r="Q306" s="1"/>
    </row>
    <row r="307" spans="1:17">
      <c r="A307" s="5">
        <v>970</v>
      </c>
      <c r="B307" s="24" t="s">
        <v>456</v>
      </c>
      <c r="C307" s="549">
        <v>1480</v>
      </c>
      <c r="D307" s="577"/>
      <c r="E307" s="546">
        <v>104</v>
      </c>
      <c r="F307" s="546">
        <v>0</v>
      </c>
      <c r="G307" s="547">
        <f t="shared" si="34"/>
        <v>0</v>
      </c>
      <c r="H307" s="550">
        <v>1584</v>
      </c>
      <c r="I307" s="162">
        <v>0</v>
      </c>
      <c r="J307" s="549">
        <v>0</v>
      </c>
      <c r="K307" s="549">
        <v>0</v>
      </c>
      <c r="L307" s="8"/>
      <c r="M307" s="1"/>
      <c r="N307" s="1"/>
      <c r="O307" s="1"/>
      <c r="P307" s="1"/>
      <c r="Q307" s="1"/>
    </row>
    <row r="308" spans="1:17">
      <c r="A308" s="5">
        <v>971</v>
      </c>
      <c r="B308" s="24" t="s">
        <v>334</v>
      </c>
      <c r="C308" s="549">
        <v>1400</v>
      </c>
      <c r="D308" s="577"/>
      <c r="E308" s="546">
        <v>114</v>
      </c>
      <c r="F308" s="546">
        <v>310.7</v>
      </c>
      <c r="G308" s="551">
        <f t="shared" ref="G308:G310" si="35">F308*1.25</f>
        <v>388.375</v>
      </c>
      <c r="H308" s="550">
        <v>1747</v>
      </c>
      <c r="I308" s="162">
        <v>150</v>
      </c>
      <c r="J308" s="549">
        <v>0</v>
      </c>
      <c r="K308" s="549">
        <v>0</v>
      </c>
      <c r="L308" s="8"/>
      <c r="M308" s="1"/>
      <c r="N308" s="1"/>
      <c r="O308" s="1"/>
      <c r="P308" s="1"/>
      <c r="Q308" s="1"/>
    </row>
    <row r="309" spans="1:17">
      <c r="A309" s="5">
        <v>972</v>
      </c>
      <c r="B309" s="24" t="s">
        <v>457</v>
      </c>
      <c r="C309" s="549">
        <v>1692</v>
      </c>
      <c r="D309" s="577"/>
      <c r="E309" s="546">
        <v>76</v>
      </c>
      <c r="F309" s="546">
        <v>362.7</v>
      </c>
      <c r="G309" s="551">
        <f t="shared" si="35"/>
        <v>453.375</v>
      </c>
      <c r="H309" s="550">
        <v>2040</v>
      </c>
      <c r="I309" s="162">
        <v>17</v>
      </c>
      <c r="J309" s="549">
        <v>0</v>
      </c>
      <c r="K309" s="549">
        <v>0</v>
      </c>
      <c r="L309" s="8"/>
      <c r="M309" s="1"/>
      <c r="N309" s="1"/>
      <c r="O309" s="1"/>
      <c r="P309" s="1"/>
      <c r="Q309" s="1"/>
    </row>
    <row r="310" spans="1:17">
      <c r="A310" s="5">
        <v>973</v>
      </c>
      <c r="B310" s="24" t="s">
        <v>458</v>
      </c>
      <c r="C310" s="549">
        <v>1592</v>
      </c>
      <c r="D310" s="577"/>
      <c r="E310" s="546">
        <v>89</v>
      </c>
      <c r="F310" s="546">
        <v>310.7</v>
      </c>
      <c r="G310" s="551">
        <f t="shared" si="35"/>
        <v>388.375</v>
      </c>
      <c r="H310" s="550">
        <v>1914</v>
      </c>
      <c r="I310" s="162">
        <v>17</v>
      </c>
      <c r="J310" s="549">
        <v>0</v>
      </c>
      <c r="K310" s="549">
        <v>0</v>
      </c>
      <c r="L310" s="8"/>
      <c r="M310" s="1"/>
      <c r="N310" s="1"/>
      <c r="O310" s="1"/>
      <c r="P310" s="1"/>
      <c r="Q310" s="1"/>
    </row>
    <row r="311" spans="1:17">
      <c r="A311" s="5">
        <v>974</v>
      </c>
      <c r="B311" s="24" t="s">
        <v>459</v>
      </c>
      <c r="C311" s="549">
        <v>1500</v>
      </c>
      <c r="D311" s="577"/>
      <c r="E311" s="546">
        <v>101</v>
      </c>
      <c r="F311" s="546">
        <v>0</v>
      </c>
      <c r="G311" s="547">
        <f t="shared" ref="G311:G314" si="36">F311</f>
        <v>0</v>
      </c>
      <c r="H311" s="550">
        <v>1601</v>
      </c>
      <c r="I311" s="162">
        <v>150</v>
      </c>
      <c r="J311" s="549">
        <v>0</v>
      </c>
      <c r="K311" s="549">
        <v>0</v>
      </c>
      <c r="L311" s="8"/>
      <c r="M311" s="1"/>
      <c r="N311" s="1"/>
      <c r="O311" s="1"/>
      <c r="P311" s="1"/>
      <c r="Q311" s="1"/>
    </row>
    <row r="312" spans="1:17">
      <c r="A312" s="5">
        <v>975</v>
      </c>
      <c r="B312" s="24" t="s">
        <v>460</v>
      </c>
      <c r="C312" s="549">
        <v>971</v>
      </c>
      <c r="D312" s="577"/>
      <c r="E312" s="546">
        <v>414.7</v>
      </c>
      <c r="F312" s="546">
        <v>0</v>
      </c>
      <c r="G312" s="547">
        <f t="shared" si="36"/>
        <v>0</v>
      </c>
      <c r="H312" s="550">
        <v>1298</v>
      </c>
      <c r="I312" s="162">
        <v>0</v>
      </c>
      <c r="J312" s="549">
        <v>0</v>
      </c>
      <c r="K312" s="549">
        <v>0</v>
      </c>
      <c r="L312" s="8"/>
      <c r="M312" s="1"/>
      <c r="N312" s="1"/>
      <c r="O312" s="1"/>
      <c r="P312" s="1"/>
      <c r="Q312" s="1"/>
    </row>
    <row r="313" spans="1:17">
      <c r="A313" s="5">
        <v>976</v>
      </c>
      <c r="B313" s="24" t="s">
        <v>461</v>
      </c>
      <c r="C313" s="549">
        <v>971</v>
      </c>
      <c r="D313" s="577"/>
      <c r="E313" s="546">
        <v>414.7</v>
      </c>
      <c r="F313" s="546">
        <v>0</v>
      </c>
      <c r="G313" s="547">
        <f t="shared" si="36"/>
        <v>0</v>
      </c>
      <c r="H313" s="550">
        <v>1298</v>
      </c>
      <c r="I313" s="162">
        <v>0</v>
      </c>
      <c r="J313" s="549">
        <v>0</v>
      </c>
      <c r="K313" s="549">
        <v>0</v>
      </c>
      <c r="L313" s="8"/>
      <c r="M313" s="1"/>
      <c r="N313" s="1"/>
      <c r="O313" s="1"/>
      <c r="P313" s="1"/>
      <c r="Q313" s="1"/>
    </row>
    <row r="314" spans="1:17">
      <c r="A314" s="5">
        <v>977</v>
      </c>
      <c r="B314" s="24" t="s">
        <v>462</v>
      </c>
      <c r="C314" s="549">
        <v>971</v>
      </c>
      <c r="D314" s="577"/>
      <c r="E314" s="546">
        <v>414.7</v>
      </c>
      <c r="F314" s="546">
        <v>0</v>
      </c>
      <c r="G314" s="547">
        <f t="shared" si="36"/>
        <v>0</v>
      </c>
      <c r="H314" s="550">
        <v>1298</v>
      </c>
      <c r="I314" s="162">
        <v>0</v>
      </c>
      <c r="J314" s="549">
        <v>0</v>
      </c>
      <c r="K314" s="549">
        <v>0</v>
      </c>
      <c r="L314" s="8"/>
      <c r="M314" s="1"/>
      <c r="N314" s="1"/>
      <c r="O314" s="1"/>
      <c r="P314" s="1"/>
      <c r="Q314" s="1"/>
    </row>
    <row r="315" spans="1:17">
      <c r="A315" s="5">
        <v>978</v>
      </c>
      <c r="B315" s="24" t="s">
        <v>463</v>
      </c>
      <c r="C315" s="549">
        <v>1840</v>
      </c>
      <c r="D315" s="577"/>
      <c r="E315" s="546">
        <v>57</v>
      </c>
      <c r="F315" s="546">
        <v>517.29999999999995</v>
      </c>
      <c r="G315" s="551">
        <f t="shared" ref="G315:G319" si="37">F315*1.25</f>
        <v>646.625</v>
      </c>
      <c r="H315" s="550">
        <v>2285</v>
      </c>
      <c r="I315" s="162">
        <v>0</v>
      </c>
      <c r="J315" s="549">
        <v>0</v>
      </c>
      <c r="K315" s="549">
        <v>0</v>
      </c>
      <c r="L315" s="8"/>
      <c r="M315" s="1"/>
      <c r="N315" s="1"/>
      <c r="O315" s="1"/>
      <c r="P315" s="1"/>
      <c r="Q315" s="1"/>
    </row>
    <row r="316" spans="1:17">
      <c r="A316" s="5">
        <v>979</v>
      </c>
      <c r="B316" s="24" t="s">
        <v>464</v>
      </c>
      <c r="C316" s="549">
        <v>1400</v>
      </c>
      <c r="D316" s="577"/>
      <c r="E316" s="546">
        <v>70</v>
      </c>
      <c r="F316" s="546">
        <v>310.7</v>
      </c>
      <c r="G316" s="551">
        <f t="shared" si="37"/>
        <v>388.375</v>
      </c>
      <c r="H316" s="550">
        <v>1703</v>
      </c>
      <c r="I316" s="162">
        <v>0</v>
      </c>
      <c r="J316" s="549">
        <v>0</v>
      </c>
      <c r="K316" s="549">
        <v>0</v>
      </c>
      <c r="L316" s="8"/>
      <c r="M316" s="1"/>
      <c r="N316" s="1"/>
      <c r="O316" s="1"/>
      <c r="P316" s="1"/>
      <c r="Q316" s="1"/>
    </row>
    <row r="317" spans="1:17">
      <c r="A317" s="5">
        <v>980</v>
      </c>
      <c r="B317" s="24" t="s">
        <v>465</v>
      </c>
      <c r="C317" s="549">
        <v>1300</v>
      </c>
      <c r="D317" s="577"/>
      <c r="E317" s="546">
        <v>127</v>
      </c>
      <c r="F317" s="546">
        <v>310.7</v>
      </c>
      <c r="G317" s="551">
        <f t="shared" si="37"/>
        <v>388.375</v>
      </c>
      <c r="H317" s="550">
        <v>1660</v>
      </c>
      <c r="I317" s="162">
        <v>0</v>
      </c>
      <c r="J317" s="549">
        <v>0</v>
      </c>
      <c r="K317" s="549">
        <v>0</v>
      </c>
      <c r="L317" s="8"/>
      <c r="M317" s="1"/>
      <c r="N317" s="1"/>
      <c r="O317" s="1"/>
      <c r="P317" s="1"/>
      <c r="Q317" s="1"/>
    </row>
    <row r="318" spans="1:17">
      <c r="A318" s="5">
        <v>981</v>
      </c>
      <c r="B318" s="24" t="s">
        <v>466</v>
      </c>
      <c r="C318" s="549">
        <v>1250</v>
      </c>
      <c r="D318" s="577"/>
      <c r="E318" s="546">
        <v>134</v>
      </c>
      <c r="F318" s="546">
        <v>310.7</v>
      </c>
      <c r="G318" s="551">
        <f t="shared" si="37"/>
        <v>388.375</v>
      </c>
      <c r="H318" s="550">
        <v>1617</v>
      </c>
      <c r="I318" s="162">
        <v>0</v>
      </c>
      <c r="J318" s="549">
        <v>0</v>
      </c>
      <c r="K318" s="549">
        <v>0</v>
      </c>
      <c r="L318" s="8"/>
      <c r="M318" s="1"/>
      <c r="N318" s="1"/>
      <c r="O318" s="1"/>
      <c r="P318" s="1"/>
      <c r="Q318" s="1"/>
    </row>
    <row r="319" spans="1:17">
      <c r="A319" s="5">
        <v>982</v>
      </c>
      <c r="B319" s="24" t="s">
        <v>467</v>
      </c>
      <c r="C319" s="549">
        <v>1740</v>
      </c>
      <c r="D319" s="577"/>
      <c r="E319" s="546">
        <v>70</v>
      </c>
      <c r="F319" s="546">
        <v>413.3</v>
      </c>
      <c r="G319" s="551">
        <f t="shared" si="37"/>
        <v>516.625</v>
      </c>
      <c r="H319" s="550">
        <v>2120</v>
      </c>
      <c r="I319" s="162">
        <v>0</v>
      </c>
      <c r="J319" s="549">
        <v>0</v>
      </c>
      <c r="K319" s="549">
        <v>0</v>
      </c>
      <c r="L319" s="8"/>
      <c r="M319" s="1"/>
      <c r="N319" s="1"/>
      <c r="O319" s="1"/>
      <c r="P319" s="1"/>
      <c r="Q319" s="1"/>
    </row>
    <row r="320" spans="1:17">
      <c r="A320" s="5">
        <v>983</v>
      </c>
      <c r="B320" s="24" t="s">
        <v>468</v>
      </c>
      <c r="C320" s="549">
        <v>1170</v>
      </c>
      <c r="D320" s="577"/>
      <c r="E320" s="546">
        <v>144</v>
      </c>
      <c r="F320" s="546">
        <v>0</v>
      </c>
      <c r="G320" s="547">
        <f t="shared" ref="G320:G328" si="38">F320</f>
        <v>0</v>
      </c>
      <c r="H320" s="550">
        <v>1314</v>
      </c>
      <c r="I320" s="162">
        <v>0</v>
      </c>
      <c r="J320" s="549">
        <v>0</v>
      </c>
      <c r="K320" s="549">
        <v>0</v>
      </c>
      <c r="L320" s="8"/>
      <c r="M320" s="1"/>
      <c r="N320" s="1"/>
      <c r="O320" s="1"/>
      <c r="P320" s="1"/>
      <c r="Q320" s="1"/>
    </row>
    <row r="321" spans="1:17">
      <c r="A321" s="5">
        <v>984</v>
      </c>
      <c r="B321" s="24" t="s">
        <v>469</v>
      </c>
      <c r="C321" s="549">
        <v>690</v>
      </c>
      <c r="D321" s="577"/>
      <c r="E321" s="546">
        <v>414.7</v>
      </c>
      <c r="F321" s="546">
        <v>0</v>
      </c>
      <c r="G321" s="547">
        <f t="shared" si="38"/>
        <v>0</v>
      </c>
      <c r="H321" s="550">
        <v>1017</v>
      </c>
      <c r="I321" s="162">
        <v>0</v>
      </c>
      <c r="J321" s="549">
        <v>0</v>
      </c>
      <c r="K321" s="549">
        <v>0</v>
      </c>
      <c r="L321" s="8"/>
      <c r="M321" s="1"/>
      <c r="N321" s="1"/>
      <c r="O321" s="1"/>
      <c r="P321" s="1"/>
      <c r="Q321" s="1"/>
    </row>
    <row r="322" spans="1:17">
      <c r="A322" s="5">
        <v>985</v>
      </c>
      <c r="B322" s="24" t="s">
        <v>470</v>
      </c>
      <c r="C322" s="549">
        <v>2913</v>
      </c>
      <c r="D322" s="577"/>
      <c r="E322" s="546">
        <v>0</v>
      </c>
      <c r="F322" s="546">
        <v>0</v>
      </c>
      <c r="G322" s="547">
        <f t="shared" si="38"/>
        <v>0</v>
      </c>
      <c r="H322" s="550">
        <v>2913</v>
      </c>
      <c r="I322" s="162">
        <v>0</v>
      </c>
      <c r="J322" s="549">
        <v>0</v>
      </c>
      <c r="K322" s="549">
        <v>0</v>
      </c>
      <c r="L322" s="8"/>
      <c r="M322" s="1"/>
      <c r="N322" s="1"/>
      <c r="O322" s="1"/>
      <c r="P322" s="1"/>
      <c r="Q322" s="1"/>
    </row>
    <row r="323" spans="1:17">
      <c r="A323" s="5">
        <v>986</v>
      </c>
      <c r="B323" s="24" t="s">
        <v>471</v>
      </c>
      <c r="C323" s="549">
        <v>644</v>
      </c>
      <c r="D323" s="577"/>
      <c r="E323" s="546">
        <v>414.7</v>
      </c>
      <c r="F323" s="546">
        <v>0</v>
      </c>
      <c r="G323" s="547">
        <f t="shared" si="38"/>
        <v>0</v>
      </c>
      <c r="H323" s="550">
        <v>971</v>
      </c>
      <c r="I323" s="162">
        <v>0</v>
      </c>
      <c r="J323" s="549">
        <v>0</v>
      </c>
      <c r="K323" s="549">
        <v>0</v>
      </c>
      <c r="L323" s="8"/>
      <c r="M323" s="1"/>
      <c r="N323" s="1"/>
      <c r="O323" s="1"/>
      <c r="P323" s="1"/>
      <c r="Q323" s="1"/>
    </row>
    <row r="324" spans="1:17">
      <c r="A324" s="5">
        <v>987</v>
      </c>
      <c r="B324" s="24" t="s">
        <v>299</v>
      </c>
      <c r="C324" s="549">
        <v>1170</v>
      </c>
      <c r="D324" s="577"/>
      <c r="E324" s="546">
        <v>144</v>
      </c>
      <c r="F324" s="546">
        <v>0</v>
      </c>
      <c r="G324" s="547">
        <f t="shared" si="38"/>
        <v>0</v>
      </c>
      <c r="H324" s="550">
        <v>1314</v>
      </c>
      <c r="I324" s="162">
        <v>0</v>
      </c>
      <c r="J324" s="549">
        <v>0</v>
      </c>
      <c r="K324" s="549">
        <v>0</v>
      </c>
      <c r="L324" s="8"/>
      <c r="M324" s="1"/>
      <c r="N324" s="1"/>
      <c r="O324" s="1"/>
      <c r="P324" s="1"/>
      <c r="Q324" s="1"/>
    </row>
    <row r="325" spans="1:17">
      <c r="A325" s="5">
        <v>988</v>
      </c>
      <c r="B325" s="24" t="s">
        <v>472</v>
      </c>
      <c r="C325" s="549">
        <v>2600</v>
      </c>
      <c r="D325" s="577"/>
      <c r="E325" s="546">
        <v>0</v>
      </c>
      <c r="F325" s="546">
        <v>0</v>
      </c>
      <c r="G325" s="547">
        <f t="shared" si="38"/>
        <v>0</v>
      </c>
      <c r="H325" s="550">
        <v>2600</v>
      </c>
      <c r="I325" s="162">
        <v>0</v>
      </c>
      <c r="J325" s="549">
        <v>0</v>
      </c>
      <c r="K325" s="549">
        <v>0</v>
      </c>
      <c r="L325" s="8"/>
      <c r="M325" s="1"/>
      <c r="N325" s="1"/>
      <c r="O325" s="1"/>
      <c r="P325" s="1"/>
      <c r="Q325" s="1"/>
    </row>
    <row r="326" spans="1:17">
      <c r="A326" s="5">
        <v>989</v>
      </c>
      <c r="B326" s="24" t="s">
        <v>473</v>
      </c>
      <c r="C326" s="549">
        <v>2840</v>
      </c>
      <c r="D326" s="577"/>
      <c r="E326" s="546">
        <v>0</v>
      </c>
      <c r="F326" s="546">
        <v>0</v>
      </c>
      <c r="G326" s="547">
        <f t="shared" si="38"/>
        <v>0</v>
      </c>
      <c r="H326" s="550">
        <v>2840</v>
      </c>
      <c r="I326" s="162">
        <v>0</v>
      </c>
      <c r="J326" s="549">
        <v>0</v>
      </c>
      <c r="K326" s="549">
        <v>0</v>
      </c>
      <c r="L326" s="8"/>
      <c r="M326" s="1"/>
      <c r="N326" s="1"/>
      <c r="O326" s="1"/>
      <c r="P326" s="1"/>
      <c r="Q326" s="1"/>
    </row>
    <row r="327" spans="1:17">
      <c r="A327" s="5">
        <v>990</v>
      </c>
      <c r="B327" s="24" t="s">
        <v>474</v>
      </c>
      <c r="C327" s="549">
        <v>2100</v>
      </c>
      <c r="D327" s="577"/>
      <c r="E327" s="546">
        <v>23</v>
      </c>
      <c r="F327" s="546">
        <v>0</v>
      </c>
      <c r="G327" s="547">
        <f t="shared" si="38"/>
        <v>0</v>
      </c>
      <c r="H327" s="550">
        <v>2123</v>
      </c>
      <c r="I327" s="162">
        <v>0</v>
      </c>
      <c r="J327" s="549">
        <v>0</v>
      </c>
      <c r="K327" s="549">
        <v>0</v>
      </c>
      <c r="L327" s="8"/>
      <c r="M327" s="1"/>
      <c r="N327" s="1"/>
      <c r="O327" s="1"/>
      <c r="P327" s="1"/>
      <c r="Q327" s="1"/>
    </row>
    <row r="328" spans="1:17">
      <c r="A328" s="5">
        <v>991</v>
      </c>
      <c r="B328" s="24" t="s">
        <v>475</v>
      </c>
      <c r="C328" s="549">
        <v>1850</v>
      </c>
      <c r="D328" s="577"/>
      <c r="E328" s="546">
        <v>55</v>
      </c>
      <c r="F328" s="546">
        <v>0</v>
      </c>
      <c r="G328" s="547">
        <f t="shared" si="38"/>
        <v>0</v>
      </c>
      <c r="H328" s="550">
        <v>1905</v>
      </c>
      <c r="I328" s="162">
        <v>0</v>
      </c>
      <c r="J328" s="549">
        <v>0</v>
      </c>
      <c r="K328" s="549">
        <v>0</v>
      </c>
      <c r="L328" s="8"/>
      <c r="M328" s="1"/>
      <c r="N328" s="1"/>
      <c r="O328" s="1"/>
      <c r="P328" s="1"/>
      <c r="Q328" s="1"/>
    </row>
    <row r="329" spans="1:17">
      <c r="A329" s="5">
        <v>992</v>
      </c>
      <c r="B329" s="24" t="s">
        <v>476</v>
      </c>
      <c r="C329" s="549">
        <v>1500</v>
      </c>
      <c r="D329" s="577"/>
      <c r="E329" s="546">
        <v>0</v>
      </c>
      <c r="F329" s="546">
        <v>310.7</v>
      </c>
      <c r="G329" s="551">
        <f t="shared" ref="G329" si="39">F329*1.25</f>
        <v>388.375</v>
      </c>
      <c r="H329" s="550">
        <v>1733</v>
      </c>
      <c r="I329" s="162">
        <v>0</v>
      </c>
      <c r="J329" s="549">
        <v>0</v>
      </c>
      <c r="K329" s="549">
        <v>0</v>
      </c>
      <c r="L329" s="8"/>
      <c r="M329" s="1"/>
      <c r="N329" s="1"/>
      <c r="O329" s="1"/>
      <c r="P329" s="1"/>
      <c r="Q329" s="1"/>
    </row>
    <row r="330" spans="1:17">
      <c r="A330" s="5">
        <v>993</v>
      </c>
      <c r="B330" s="24" t="s">
        <v>477</v>
      </c>
      <c r="C330" s="549">
        <v>2913</v>
      </c>
      <c r="D330" s="577"/>
      <c r="E330" s="546">
        <v>0</v>
      </c>
      <c r="F330" s="546">
        <v>0</v>
      </c>
      <c r="G330" s="547">
        <f>F330</f>
        <v>0</v>
      </c>
      <c r="H330" s="550">
        <v>2913</v>
      </c>
      <c r="I330" s="162">
        <v>0</v>
      </c>
      <c r="J330" s="549">
        <v>0</v>
      </c>
      <c r="K330" s="549">
        <v>0</v>
      </c>
      <c r="L330" s="8"/>
      <c r="M330" s="1"/>
      <c r="N330" s="1"/>
      <c r="O330" s="1"/>
      <c r="P330" s="1"/>
      <c r="Q330" s="1"/>
    </row>
    <row r="331" spans="1:17">
      <c r="A331" s="5">
        <v>994</v>
      </c>
      <c r="B331" s="24" t="s">
        <v>478</v>
      </c>
      <c r="C331" s="549">
        <v>1580</v>
      </c>
      <c r="D331" s="577"/>
      <c r="E331" s="546">
        <v>90</v>
      </c>
      <c r="F331" s="546">
        <v>347.6</v>
      </c>
      <c r="G331" s="547">
        <f t="shared" ref="G331:G335" si="40">F331</f>
        <v>347.6</v>
      </c>
      <c r="H331" s="550">
        <v>2017.6</v>
      </c>
      <c r="I331" s="162">
        <v>0</v>
      </c>
      <c r="J331" s="549">
        <v>0</v>
      </c>
      <c r="K331" s="549">
        <v>0</v>
      </c>
      <c r="L331" s="8"/>
      <c r="M331" s="1"/>
      <c r="N331" s="1"/>
      <c r="O331" s="1"/>
      <c r="P331" s="1"/>
      <c r="Q331" s="1"/>
    </row>
    <row r="332" spans="1:17">
      <c r="A332" s="5">
        <v>995</v>
      </c>
      <c r="B332" s="24" t="s">
        <v>479</v>
      </c>
      <c r="C332" s="549">
        <v>1564</v>
      </c>
      <c r="D332" s="577"/>
      <c r="E332" s="546">
        <v>93</v>
      </c>
      <c r="F332" s="546">
        <v>0</v>
      </c>
      <c r="G332" s="547">
        <f t="shared" si="40"/>
        <v>0</v>
      </c>
      <c r="H332" s="550">
        <v>1657</v>
      </c>
      <c r="I332" s="162">
        <v>0</v>
      </c>
      <c r="J332" s="549">
        <v>0</v>
      </c>
      <c r="K332" s="549">
        <v>0</v>
      </c>
      <c r="L332" s="8"/>
      <c r="M332" s="1"/>
      <c r="N332" s="1"/>
      <c r="O332" s="1"/>
      <c r="P332" s="1"/>
      <c r="Q332" s="1"/>
    </row>
    <row r="333" spans="1:17">
      <c r="A333" s="5">
        <v>996</v>
      </c>
      <c r="B333" s="24" t="s">
        <v>200</v>
      </c>
      <c r="C333" s="549">
        <v>1480</v>
      </c>
      <c r="D333" s="577"/>
      <c r="E333" s="546">
        <v>104</v>
      </c>
      <c r="F333" s="546">
        <v>0</v>
      </c>
      <c r="G333" s="547">
        <f t="shared" si="40"/>
        <v>0</v>
      </c>
      <c r="H333" s="550">
        <v>1584</v>
      </c>
      <c r="I333" s="162">
        <v>0</v>
      </c>
      <c r="J333" s="549">
        <v>0</v>
      </c>
      <c r="K333" s="549">
        <v>0</v>
      </c>
      <c r="L333" s="8"/>
      <c r="M333" s="1"/>
      <c r="N333" s="1"/>
      <c r="O333" s="1"/>
      <c r="P333" s="1"/>
      <c r="Q333" s="1"/>
    </row>
    <row r="334" spans="1:17">
      <c r="A334" s="5">
        <v>997</v>
      </c>
      <c r="B334" s="24" t="s">
        <v>480</v>
      </c>
      <c r="C334" s="549">
        <v>1564</v>
      </c>
      <c r="D334" s="577"/>
      <c r="E334" s="546">
        <v>93</v>
      </c>
      <c r="F334" s="546">
        <v>0</v>
      </c>
      <c r="G334" s="547">
        <f t="shared" si="40"/>
        <v>0</v>
      </c>
      <c r="H334" s="550">
        <v>1657</v>
      </c>
      <c r="I334" s="162">
        <v>0</v>
      </c>
      <c r="J334" s="549">
        <v>0</v>
      </c>
      <c r="K334" s="549">
        <v>0</v>
      </c>
      <c r="L334" s="8"/>
      <c r="M334" s="1"/>
      <c r="N334" s="1"/>
      <c r="O334" s="1"/>
      <c r="P334" s="1"/>
      <c r="Q334" s="1"/>
    </row>
    <row r="335" spans="1:17">
      <c r="A335" s="5">
        <v>998</v>
      </c>
      <c r="B335" s="24" t="s">
        <v>481</v>
      </c>
      <c r="C335" s="549">
        <v>2220</v>
      </c>
      <c r="D335" s="577"/>
      <c r="E335" s="546">
        <v>7</v>
      </c>
      <c r="F335" s="546">
        <v>0</v>
      </c>
      <c r="G335" s="547">
        <f t="shared" si="40"/>
        <v>0</v>
      </c>
      <c r="H335" s="550">
        <v>2227</v>
      </c>
      <c r="I335" s="162">
        <v>0</v>
      </c>
      <c r="J335" s="549">
        <v>0</v>
      </c>
      <c r="K335" s="549">
        <v>0</v>
      </c>
      <c r="L335" s="8"/>
      <c r="M335" s="1"/>
      <c r="N335" s="1"/>
      <c r="O335" s="1"/>
      <c r="P335" s="1"/>
      <c r="Q335" s="1"/>
    </row>
    <row r="336" spans="1:17">
      <c r="A336" s="5">
        <v>999</v>
      </c>
      <c r="B336" s="24" t="s">
        <v>482</v>
      </c>
      <c r="C336" s="549">
        <v>1250</v>
      </c>
      <c r="D336" s="577"/>
      <c r="E336" s="546">
        <v>134</v>
      </c>
      <c r="F336" s="546">
        <v>310.7</v>
      </c>
      <c r="G336" s="551">
        <f t="shared" ref="G336" si="41">F336*1.25</f>
        <v>388.375</v>
      </c>
      <c r="H336" s="550">
        <v>1617</v>
      </c>
      <c r="I336" s="162">
        <v>0</v>
      </c>
      <c r="J336" s="549">
        <v>0</v>
      </c>
      <c r="K336" s="549">
        <v>0</v>
      </c>
      <c r="L336" s="8"/>
      <c r="M336" s="1"/>
      <c r="N336" s="1"/>
      <c r="O336" s="1"/>
      <c r="P336" s="1"/>
      <c r="Q336" s="1"/>
    </row>
    <row r="337" spans="1:17">
      <c r="A337" s="1"/>
      <c r="B337" s="1"/>
      <c r="C337" s="1"/>
      <c r="D337" s="4"/>
      <c r="E337" s="12"/>
      <c r="F337" s="12"/>
      <c r="G337" s="12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>
      <c r="A338" s="1"/>
      <c r="B338" s="1"/>
      <c r="C338" s="1"/>
      <c r="D338" s="4"/>
      <c r="E338" s="12"/>
      <c r="F338" s="12"/>
      <c r="G338" s="12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>
      <c r="A339" s="1"/>
      <c r="B339" s="1"/>
      <c r="C339" s="1"/>
      <c r="D339" s="4"/>
      <c r="E339" s="12"/>
      <c r="F339" s="12"/>
      <c r="G339" s="12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>
      <c r="A340" s="1"/>
      <c r="B340" s="1"/>
      <c r="C340" s="1"/>
      <c r="D340" s="4"/>
      <c r="E340" s="12"/>
      <c r="F340" s="12"/>
      <c r="G340" s="12"/>
      <c r="H340" s="1"/>
      <c r="I340" s="1"/>
      <c r="J340" s="1"/>
      <c r="K340" s="1"/>
      <c r="L340" s="1"/>
      <c r="M340" s="1"/>
      <c r="N340" s="1"/>
      <c r="O340" s="1"/>
      <c r="P340" s="1"/>
      <c r="Q340" s="1"/>
    </row>
  </sheetData>
  <sheetProtection password="DFB3" sheet="1" objects="1" scenarios="1" selectLockedCells="1"/>
  <hyperlinks>
    <hyperlink ref="B1" r:id="rId1" location="'recibo de sueldo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63</vt:i4>
      </vt:variant>
    </vt:vector>
  </HeadingPairs>
  <TitlesOfParts>
    <vt:vector size="65" baseType="lpstr">
      <vt:lpstr>Recibo</vt:lpstr>
      <vt:lpstr>cargos</vt:lpstr>
      <vt:lpstr>adicdir2016</vt:lpstr>
      <vt:lpstr>adicdir2022</vt:lpstr>
      <vt:lpstr>adichsmedia</vt:lpstr>
      <vt:lpstr>adicnina</vt:lpstr>
      <vt:lpstr>Aumento1</vt:lpstr>
      <vt:lpstr>Aumento2</vt:lpstr>
      <vt:lpstr>Aumento3</vt:lpstr>
      <vt:lpstr>Aumento4</vt:lpstr>
      <vt:lpstr>Aumento5</vt:lpstr>
      <vt:lpstr>aumento6</vt:lpstr>
      <vt:lpstr>Aumento7</vt:lpstr>
      <vt:lpstr>Aumento8</vt:lpstr>
      <vt:lpstr>canthor06med</vt:lpstr>
      <vt:lpstr>canthor06sup</vt:lpstr>
      <vt:lpstr>canthorincmed</vt:lpstr>
      <vt:lpstr>canthorincsup</vt:lpstr>
      <vt:lpstr>canthormed</vt:lpstr>
      <vt:lpstr>canthorsup</vt:lpstr>
      <vt:lpstr>cantkm</vt:lpstr>
      <vt:lpstr>cantkmhm</vt:lpstr>
      <vt:lpstr>cantkmhs</vt:lpstr>
      <vt:lpstr>codigo06cargosene23</vt:lpstr>
      <vt:lpstr>compbas16</vt:lpstr>
      <vt:lpstr>compbas2016</vt:lpstr>
      <vt:lpstr>compdir16</vt:lpstr>
      <vt:lpstr>compdir22</vt:lpstr>
      <vt:lpstr>escalaañosantig</vt:lpstr>
      <vt:lpstr>escalaporcantig</vt:lpstr>
      <vt:lpstr>exten</vt:lpstr>
      <vt:lpstr>indiceene23</vt:lpstr>
      <vt:lpstr>Indiceproljorene23</vt:lpstr>
      <vt:lpstr>kmsem</vt:lpstr>
      <vt:lpstr>kmsemhsmed</vt:lpstr>
      <vt:lpstr>kmsemhssup</vt:lpstr>
      <vt:lpstr>nina</vt:lpstr>
      <vt:lpstr>nombrecargo</vt:lpstr>
      <vt:lpstr>numcargo</vt:lpstr>
      <vt:lpstr>poragmer</vt:lpstr>
      <vt:lpstr>porant</vt:lpstr>
      <vt:lpstr>porantigcargo</vt:lpstr>
      <vt:lpstr>porantighormed</vt:lpstr>
      <vt:lpstr>porantighorsup</vt:lpstr>
      <vt:lpstr>porjub</vt:lpstr>
      <vt:lpstr>poros</vt:lpstr>
      <vt:lpstr>porzonacargo</vt:lpstr>
      <vt:lpstr>porzonahsmed</vt:lpstr>
      <vt:lpstr>punbascar</vt:lpstr>
      <vt:lpstr>punbascargo</vt:lpstr>
      <vt:lpstr>punbashormed</vt:lpstr>
      <vt:lpstr>punbashorsup</vt:lpstr>
      <vt:lpstr>punexten</vt:lpstr>
      <vt:lpstr>punjorcomcargo</vt:lpstr>
      <vt:lpstr>punproljorcargo</vt:lpstr>
      <vt:lpstr>puntardifcargo</vt:lpstr>
      <vt:lpstr>puntosadicnina</vt:lpstr>
      <vt:lpstr>PUNTOSbasicos</vt:lpstr>
      <vt:lpstr>puntosexten</vt:lpstr>
      <vt:lpstr>puntosproljor</vt:lpstr>
      <vt:lpstr>puntostardif</vt:lpstr>
      <vt:lpstr>totalremfeb23</vt:lpstr>
      <vt:lpstr>totalremmar23</vt:lpstr>
      <vt:lpstr>totalremmay23</vt:lpstr>
      <vt:lpstr>totalremocatavoaumFonidene23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Victor</cp:lastModifiedBy>
  <dcterms:created xsi:type="dcterms:W3CDTF">2022-02-04T04:38:20Z</dcterms:created>
  <dcterms:modified xsi:type="dcterms:W3CDTF">2023-02-25T15:17:04Z</dcterms:modified>
</cp:coreProperties>
</file>